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3256" windowHeight="9660" activeTab="1"/>
  </bookViews>
  <sheets>
    <sheet name="Инф. о рез-х сдачи в аренду" sheetId="1" r:id="rId1"/>
    <sheet name="Инф. о передачи в безвозм. поль" sheetId="2" r:id="rId2"/>
    <sheet name="Лист3" sheetId="3" r:id="rId3"/>
  </sheets>
  <definedNames>
    <definedName name="_xlnm.Print_Titles" localSheetId="1">'Инф. о передачи в безвозм. поль'!$5:$6</definedName>
    <definedName name="_xlnm.Print_Area" localSheetId="1">'Инф. о передачи в безвозм. поль'!$A$1:$Q$1015</definedName>
  </definedNames>
  <calcPr calcId="145621"/>
</workbook>
</file>

<file path=xl/calcChain.xml><?xml version="1.0" encoding="utf-8"?>
<calcChain xmlns="http://schemas.openxmlformats.org/spreadsheetml/2006/main">
  <c r="J759" i="2" l="1"/>
  <c r="O339" i="2" l="1"/>
  <c r="O338" i="2"/>
  <c r="O955" i="2"/>
  <c r="O765" i="2"/>
  <c r="N765" i="2"/>
  <c r="N955" i="2"/>
  <c r="N953" i="2"/>
  <c r="N952" i="2"/>
  <c r="N951" i="2"/>
  <c r="N950" i="2"/>
  <c r="N881" i="2"/>
  <c r="O881" i="2"/>
  <c r="O880" i="2"/>
  <c r="N880" i="2"/>
  <c r="O879" i="2"/>
  <c r="N879" i="2"/>
  <c r="O878" i="2"/>
  <c r="N878" i="2"/>
  <c r="O877" i="2"/>
  <c r="N877" i="2"/>
  <c r="O876" i="2"/>
  <c r="N876" i="2"/>
  <c r="O760" i="2"/>
  <c r="N760" i="2"/>
  <c r="O605" i="2"/>
  <c r="N605" i="2"/>
  <c r="N604" i="2"/>
  <c r="O604" i="2"/>
  <c r="O603" i="2"/>
  <c r="N603" i="2"/>
  <c r="O602" i="2"/>
  <c r="N602" i="2"/>
  <c r="O601" i="2"/>
  <c r="N601" i="2"/>
  <c r="N600" i="2"/>
  <c r="N599" i="2" s="1"/>
  <c r="O600" i="2"/>
  <c r="O599" i="2" l="1"/>
  <c r="O962" i="2"/>
  <c r="N875" i="2"/>
  <c r="O875" i="2"/>
  <c r="O954" i="2"/>
  <c r="N954" i="2"/>
  <c r="N949" i="2" s="1"/>
  <c r="O952" i="2"/>
  <c r="O953" i="2"/>
  <c r="O951" i="2"/>
  <c r="O950" i="2"/>
  <c r="N339" i="2"/>
  <c r="N962" i="2" s="1"/>
  <c r="N338" i="2"/>
  <c r="O337" i="2"/>
  <c r="N337" i="2"/>
  <c r="O336" i="2"/>
  <c r="N336" i="2"/>
  <c r="O335" i="2"/>
  <c r="N335" i="2"/>
  <c r="O334" i="2"/>
  <c r="N334" i="2"/>
  <c r="N957" i="2" s="1"/>
  <c r="O957" i="2" l="1"/>
  <c r="O333" i="2"/>
  <c r="N333" i="2"/>
  <c r="O949" i="2"/>
  <c r="S521" i="2"/>
  <c r="K521" i="2" s="1"/>
  <c r="S266" i="2" l="1"/>
  <c r="K266" i="2" s="1"/>
  <c r="S69" i="2" l="1"/>
  <c r="K69" i="2" s="1"/>
  <c r="S809" i="2"/>
  <c r="S814" i="2"/>
  <c r="K809" i="2" s="1"/>
  <c r="S407" i="2"/>
  <c r="K407" i="2" s="1"/>
  <c r="K473" i="2"/>
  <c r="L69" i="2" l="1"/>
  <c r="S593" i="2"/>
  <c r="K593" i="2" s="1"/>
  <c r="S587" i="2"/>
  <c r="S753" i="2"/>
  <c r="S581" i="2"/>
  <c r="S583" i="2"/>
  <c r="S586" i="2"/>
  <c r="K587" i="2" l="1"/>
  <c r="L587" i="2"/>
  <c r="K753" i="2"/>
  <c r="L753" i="2"/>
  <c r="L581" i="2"/>
  <c r="K581" i="2"/>
  <c r="L593" i="2"/>
  <c r="S575" i="2" l="1"/>
  <c r="L575" i="2" s="1"/>
  <c r="S327" i="2"/>
  <c r="L327" i="2" l="1"/>
  <c r="K327" i="2"/>
  <c r="K575" i="2"/>
  <c r="O764" i="2" l="1"/>
  <c r="O961" i="2" s="1"/>
  <c r="O763" i="2"/>
  <c r="O960" i="2" s="1"/>
  <c r="O761" i="2"/>
  <c r="O762" i="2"/>
  <c r="N764" i="2"/>
  <c r="N961" i="2" s="1"/>
  <c r="N763" i="2"/>
  <c r="N960" i="2" s="1"/>
  <c r="N761" i="2"/>
  <c r="N762" i="2"/>
  <c r="N759" i="2" l="1"/>
  <c r="N958" i="2"/>
  <c r="O759" i="2"/>
  <c r="O958" i="2"/>
  <c r="S353" i="2"/>
  <c r="K353" i="2" s="1"/>
  <c r="S15" i="2"/>
  <c r="K15" i="2" s="1"/>
  <c r="S705" i="2"/>
  <c r="K705" i="2" s="1"/>
  <c r="S869" i="2"/>
  <c r="K869" i="2" s="1"/>
  <c r="S279" i="2"/>
  <c r="K279" i="2" s="1"/>
  <c r="L15" i="2" l="1"/>
  <c r="S639" i="2" l="1"/>
  <c r="K639" i="2" s="1"/>
  <c r="S821" i="2"/>
  <c r="K821" i="2" s="1"/>
  <c r="S383" i="2" l="1"/>
  <c r="K383" i="2" s="1"/>
  <c r="S347" i="2" l="1"/>
  <c r="K347" i="2" s="1"/>
  <c r="S675" i="2" l="1"/>
  <c r="K675" i="2" s="1"/>
  <c r="S907" i="2"/>
  <c r="K907" i="2" s="1"/>
  <c r="S901" i="2"/>
  <c r="K901" i="2" s="1"/>
  <c r="S827" i="2"/>
  <c r="S569" i="2"/>
  <c r="S21" i="2"/>
  <c r="K21" i="2" s="1"/>
  <c r="L569" i="2" l="1"/>
  <c r="K569" i="2"/>
  <c r="L21" i="2"/>
  <c r="S51" i="2"/>
  <c r="K51" i="2" s="1"/>
  <c r="S45" i="2"/>
  <c r="K45" i="2" s="1"/>
  <c r="S377" i="2"/>
  <c r="K377" i="2" s="1"/>
  <c r="S415" i="2"/>
  <c r="S413" i="2"/>
  <c r="S401" i="2"/>
  <c r="K401" i="2" s="1"/>
  <c r="S485" i="2"/>
  <c r="K485" i="2" s="1"/>
  <c r="K413" i="2" l="1"/>
  <c r="L377" i="2"/>
  <c r="L809" i="2"/>
  <c r="S497" i="2"/>
  <c r="K497" i="2" s="1"/>
  <c r="S321" i="2"/>
  <c r="K321" i="2" l="1"/>
  <c r="R706" i="2"/>
  <c r="S303" i="2" l="1"/>
  <c r="K303" i="2" s="1"/>
  <c r="G199" i="3"/>
  <c r="H239" i="3"/>
  <c r="G239" i="3"/>
  <c r="H234" i="3"/>
  <c r="G234" i="3"/>
  <c r="H229" i="3"/>
  <c r="G229" i="3"/>
  <c r="H224" i="3"/>
  <c r="G224" i="3"/>
  <c r="H219" i="3"/>
  <c r="G219" i="3"/>
  <c r="H214" i="3"/>
  <c r="G214" i="3"/>
  <c r="H209" i="3"/>
  <c r="G209" i="3"/>
  <c r="H204" i="3"/>
  <c r="G204" i="3"/>
  <c r="H199" i="3"/>
  <c r="S99" i="2"/>
  <c r="K99" i="2" s="1"/>
  <c r="L473" i="2"/>
  <c r="L303" i="2" l="1"/>
  <c r="S711" i="2"/>
  <c r="S207" i="2"/>
  <c r="K207" i="2" s="1"/>
  <c r="S219" i="2"/>
  <c r="K219" i="2" s="1"/>
  <c r="S213" i="2"/>
  <c r="K213" i="2" s="1"/>
  <c r="S177" i="2"/>
  <c r="K177" i="2" s="1"/>
  <c r="S189" i="2"/>
  <c r="K189" i="2" s="1"/>
  <c r="S195" i="2"/>
  <c r="K195" i="2" s="1"/>
  <c r="S201" i="2"/>
  <c r="K201" i="2" s="1"/>
  <c r="K711" i="2" l="1"/>
  <c r="L711" i="2"/>
  <c r="L705" i="2"/>
  <c r="S171" i="2"/>
  <c r="K171" i="2" s="1"/>
  <c r="S183" i="2"/>
  <c r="K183" i="2" s="1"/>
  <c r="S159" i="2"/>
  <c r="K159" i="2" s="1"/>
  <c r="S165" i="2"/>
  <c r="K165" i="2" s="1"/>
  <c r="S153" i="2"/>
  <c r="K153" i="2" s="1"/>
  <c r="S315" i="2"/>
  <c r="K315" i="2" s="1"/>
  <c r="L153" i="2" l="1"/>
  <c r="L315" i="2"/>
  <c r="O959" i="2"/>
  <c r="N959" i="2"/>
  <c r="O956" i="2" l="1"/>
  <c r="N956" i="2"/>
  <c r="S296" i="2" l="1"/>
  <c r="K296" i="2" s="1"/>
  <c r="S741" i="2"/>
  <c r="K741" i="2" s="1"/>
  <c r="S747" i="2"/>
  <c r="K747" i="2" s="1"/>
  <c r="L741" i="2" l="1"/>
  <c r="L296" i="2"/>
  <c r="L747" i="2"/>
  <c r="S943" i="2" l="1"/>
  <c r="K943" i="2" s="1"/>
  <c r="S937" i="2"/>
  <c r="K937" i="2" s="1"/>
  <c r="J931" i="2"/>
  <c r="J949" i="2" s="1"/>
  <c r="S925" i="2"/>
  <c r="K925" i="2" s="1"/>
  <c r="S921" i="2"/>
  <c r="S919" i="2"/>
  <c r="S913" i="2"/>
  <c r="K913" i="2" s="1"/>
  <c r="L907" i="2"/>
  <c r="S895" i="2"/>
  <c r="K895" i="2" s="1"/>
  <c r="S889" i="2"/>
  <c r="K889" i="2" s="1"/>
  <c r="S888" i="2"/>
  <c r="S885" i="2"/>
  <c r="S883" i="2"/>
  <c r="L869" i="2"/>
  <c r="S863" i="2"/>
  <c r="K863" i="2" s="1"/>
  <c r="S857" i="2"/>
  <c r="K857" i="2" s="1"/>
  <c r="J857" i="2"/>
  <c r="J875" i="2" s="1"/>
  <c r="S851" i="2"/>
  <c r="K851" i="2" s="1"/>
  <c r="S845" i="2"/>
  <c r="K845" i="2" s="1"/>
  <c r="S839" i="2"/>
  <c r="K839" i="2" s="1"/>
  <c r="S833" i="2"/>
  <c r="K833" i="2" s="1"/>
  <c r="S832" i="2"/>
  <c r="S829" i="2"/>
  <c r="K827" i="2" s="1"/>
  <c r="S815" i="2"/>
  <c r="K815" i="2" s="1"/>
  <c r="S803" i="2"/>
  <c r="K803" i="2" s="1"/>
  <c r="S797" i="2"/>
  <c r="K797" i="2" s="1"/>
  <c r="S791" i="2"/>
  <c r="K791" i="2" s="1"/>
  <c r="S785" i="2"/>
  <c r="K785" i="2" s="1"/>
  <c r="S779" i="2"/>
  <c r="K779" i="2" s="1"/>
  <c r="S773" i="2"/>
  <c r="K773" i="2" s="1"/>
  <c r="S767" i="2"/>
  <c r="K767" i="2" s="1"/>
  <c r="K875" i="2" s="1"/>
  <c r="K919" i="2" l="1"/>
  <c r="K883" i="2"/>
  <c r="L863" i="2"/>
  <c r="L925" i="2"/>
  <c r="L839" i="2"/>
  <c r="L943" i="2"/>
  <c r="S931" i="2"/>
  <c r="K931" i="2" s="1"/>
  <c r="L773" i="2"/>
  <c r="L803" i="2"/>
  <c r="L815" i="2"/>
  <c r="L821" i="2"/>
  <c r="L889" i="2"/>
  <c r="L767" i="2"/>
  <c r="L857" i="2"/>
  <c r="L919" i="2"/>
  <c r="L779" i="2"/>
  <c r="L851" i="2"/>
  <c r="L833" i="2"/>
  <c r="L797" i="2"/>
  <c r="L845" i="2"/>
  <c r="L913" i="2"/>
  <c r="L937" i="2"/>
  <c r="L895" i="2"/>
  <c r="L901" i="2"/>
  <c r="L883" i="2"/>
  <c r="L791" i="2"/>
  <c r="L827" i="2"/>
  <c r="L785" i="2"/>
  <c r="S735" i="2"/>
  <c r="K735" i="2" s="1"/>
  <c r="S729" i="2"/>
  <c r="K729" i="2" s="1"/>
  <c r="S723" i="2"/>
  <c r="K723" i="2" s="1"/>
  <c r="S717" i="2"/>
  <c r="K717" i="2" s="1"/>
  <c r="S693" i="2"/>
  <c r="K693" i="2" s="1"/>
  <c r="S687" i="2"/>
  <c r="K687" i="2" s="1"/>
  <c r="S681" i="2"/>
  <c r="K681" i="2" s="1"/>
  <c r="S669" i="2"/>
  <c r="K669" i="2" s="1"/>
  <c r="S663" i="2"/>
  <c r="K663" i="2" s="1"/>
  <c r="S657" i="2"/>
  <c r="K657" i="2" s="1"/>
  <c r="S653" i="2"/>
  <c r="S651" i="2"/>
  <c r="S645" i="2"/>
  <c r="K645" i="2" s="1"/>
  <c r="S633" i="2"/>
  <c r="K633" i="2" s="1"/>
  <c r="S627" i="2"/>
  <c r="K627" i="2" s="1"/>
  <c r="S563" i="2"/>
  <c r="K563" i="2" s="1"/>
  <c r="S626" i="2"/>
  <c r="K626" i="2" s="1"/>
  <c r="S625" i="2"/>
  <c r="K625" i="2" s="1"/>
  <c r="S624" i="2"/>
  <c r="K624" i="2" s="1"/>
  <c r="S623" i="2"/>
  <c r="K623" i="2" s="1"/>
  <c r="S622" i="2"/>
  <c r="K622" i="2" s="1"/>
  <c r="S621" i="2"/>
  <c r="K621" i="2" s="1"/>
  <c r="S620" i="2"/>
  <c r="K620" i="2" s="1"/>
  <c r="S619" i="2"/>
  <c r="K619" i="2" s="1"/>
  <c r="S618" i="2"/>
  <c r="K618" i="2" s="1"/>
  <c r="S617" i="2"/>
  <c r="K617" i="2" s="1"/>
  <c r="S616" i="2"/>
  <c r="K616" i="2" s="1"/>
  <c r="S615" i="2"/>
  <c r="K615" i="2" s="1"/>
  <c r="S614" i="2"/>
  <c r="K614" i="2" s="1"/>
  <c r="S613" i="2"/>
  <c r="K613" i="2" s="1"/>
  <c r="S612" i="2"/>
  <c r="K612" i="2" s="1"/>
  <c r="S611" i="2"/>
  <c r="K611" i="2" s="1"/>
  <c r="S610" i="2"/>
  <c r="K610" i="2" s="1"/>
  <c r="S609" i="2"/>
  <c r="K609" i="2" s="1"/>
  <c r="S608" i="2"/>
  <c r="K608" i="2" s="1"/>
  <c r="S607" i="2"/>
  <c r="K607" i="2" s="1"/>
  <c r="K651" i="2" l="1"/>
  <c r="K949" i="2"/>
  <c r="L875" i="2"/>
  <c r="L693" i="2"/>
  <c r="L729" i="2"/>
  <c r="L651" i="2"/>
  <c r="L669" i="2"/>
  <c r="L627" i="2"/>
  <c r="L619" i="2"/>
  <c r="L623" i="2"/>
  <c r="L618" i="2"/>
  <c r="L622" i="2"/>
  <c r="L681" i="2"/>
  <c r="L663" i="2"/>
  <c r="L614" i="2"/>
  <c r="L675" i="2"/>
  <c r="L633" i="2"/>
  <c r="L645" i="2"/>
  <c r="L717" i="2"/>
  <c r="L931" i="2"/>
  <c r="L949" i="2" s="1"/>
  <c r="L723" i="2"/>
  <c r="L687" i="2"/>
  <c r="L735" i="2"/>
  <c r="L657" i="2"/>
  <c r="L609" i="2"/>
  <c r="L626" i="2"/>
  <c r="L613" i="2"/>
  <c r="L607" i="2"/>
  <c r="L625" i="2"/>
  <c r="L611" i="2"/>
  <c r="L621" i="2"/>
  <c r="L617" i="2"/>
  <c r="L639" i="2"/>
  <c r="L624" i="2"/>
  <c r="L620" i="2"/>
  <c r="L616" i="2"/>
  <c r="L615" i="2"/>
  <c r="L612" i="2"/>
  <c r="L610" i="2"/>
  <c r="L608" i="2"/>
  <c r="L563" i="2" l="1"/>
  <c r="S557" i="2"/>
  <c r="K557" i="2" s="1"/>
  <c r="S551" i="2"/>
  <c r="K551" i="2" s="1"/>
  <c r="J545" i="2"/>
  <c r="J599" i="2" s="1"/>
  <c r="S539" i="2"/>
  <c r="K539" i="2" s="1"/>
  <c r="S533" i="2"/>
  <c r="K533" i="2" s="1"/>
  <c r="S527" i="2"/>
  <c r="K527" i="2" s="1"/>
  <c r="S515" i="2"/>
  <c r="K515" i="2" s="1"/>
  <c r="S545" i="2" l="1"/>
  <c r="K545" i="2" s="1"/>
  <c r="L515" i="2"/>
  <c r="L533" i="2"/>
  <c r="L527" i="2"/>
  <c r="L539" i="2"/>
  <c r="L551" i="2"/>
  <c r="L557" i="2"/>
  <c r="L521" i="2"/>
  <c r="S509" i="2"/>
  <c r="K509" i="2" s="1"/>
  <c r="S503" i="2"/>
  <c r="K503" i="2" s="1"/>
  <c r="S491" i="2"/>
  <c r="K491" i="2" s="1"/>
  <c r="S479" i="2"/>
  <c r="K479" i="2" s="1"/>
  <c r="S467" i="2"/>
  <c r="S461" i="2"/>
  <c r="K461" i="2" s="1"/>
  <c r="S455" i="2"/>
  <c r="K455" i="2" s="1"/>
  <c r="S449" i="2"/>
  <c r="K449" i="2" s="1"/>
  <c r="S443" i="2"/>
  <c r="K443" i="2" s="1"/>
  <c r="S437" i="2"/>
  <c r="K437" i="2" s="1"/>
  <c r="S431" i="2"/>
  <c r="K431" i="2" s="1"/>
  <c r="S425" i="2"/>
  <c r="K425" i="2" s="1"/>
  <c r="S419" i="2"/>
  <c r="K419" i="2" s="1"/>
  <c r="L407" i="2"/>
  <c r="L401" i="2"/>
  <c r="S395" i="2"/>
  <c r="K395" i="2" s="1"/>
  <c r="S389" i="2"/>
  <c r="K389" i="2" s="1"/>
  <c r="S371" i="2"/>
  <c r="K371" i="2" s="1"/>
  <c r="S365" i="2"/>
  <c r="K365" i="2" s="1"/>
  <c r="S359" i="2"/>
  <c r="K359" i="2" s="1"/>
  <c r="L545" i="2" l="1"/>
  <c r="L467" i="2"/>
  <c r="K467" i="2"/>
  <c r="L389" i="2"/>
  <c r="L443" i="2"/>
  <c r="L485" i="2"/>
  <c r="L347" i="2"/>
  <c r="L437" i="2"/>
  <c r="L461" i="2"/>
  <c r="L491" i="2"/>
  <c r="L353" i="2"/>
  <c r="L419" i="2"/>
  <c r="L497" i="2"/>
  <c r="L359" i="2"/>
  <c r="L383" i="2"/>
  <c r="L479" i="2"/>
  <c r="L503" i="2"/>
  <c r="L365" i="2"/>
  <c r="L431" i="2"/>
  <c r="L509" i="2"/>
  <c r="L449" i="2"/>
  <c r="L455" i="2"/>
  <c r="L395" i="2"/>
  <c r="L413" i="2"/>
  <c r="L425" i="2"/>
  <c r="L371" i="2"/>
  <c r="S341" i="2"/>
  <c r="K341" i="2" l="1"/>
  <c r="K599" i="2" s="1"/>
  <c r="L341" i="2"/>
  <c r="L599" i="2" s="1"/>
  <c r="S309" i="2"/>
  <c r="K309" i="2" s="1"/>
  <c r="S291" i="2"/>
  <c r="K291" i="2" s="1"/>
  <c r="S285" i="2"/>
  <c r="K285" i="2" s="1"/>
  <c r="L279" i="2"/>
  <c r="S273" i="2"/>
  <c r="K273" i="2" s="1"/>
  <c r="S261" i="2"/>
  <c r="K261" i="2" s="1"/>
  <c r="S255" i="2"/>
  <c r="K255" i="2" s="1"/>
  <c r="S249" i="2"/>
  <c r="K249" i="2" s="1"/>
  <c r="J243" i="2"/>
  <c r="S243" i="2" s="1"/>
  <c r="K243" i="2" s="1"/>
  <c r="S237" i="2"/>
  <c r="K237" i="2" s="1"/>
  <c r="L261" i="2" l="1"/>
  <c r="L285" i="2"/>
  <c r="L255" i="2"/>
  <c r="L309" i="2"/>
  <c r="L237" i="2"/>
  <c r="L243" i="2"/>
  <c r="L266" i="2"/>
  <c r="L273" i="2"/>
  <c r="L249" i="2"/>
  <c r="L291" i="2"/>
  <c r="S231" i="2"/>
  <c r="K231" i="2" s="1"/>
  <c r="S225" i="2"/>
  <c r="K225" i="2" s="1"/>
  <c r="L201" i="2"/>
  <c r="L195" i="2"/>
  <c r="L189" i="2"/>
  <c r="L183" i="2"/>
  <c r="L177" i="2"/>
  <c r="L171" i="2"/>
  <c r="L165" i="2"/>
  <c r="L231" i="2" l="1"/>
  <c r="L225" i="2"/>
  <c r="L207" i="2"/>
  <c r="L219" i="2"/>
  <c r="L213" i="2"/>
  <c r="L159" i="2"/>
  <c r="S147" i="2"/>
  <c r="K147" i="2" s="1"/>
  <c r="S141" i="2"/>
  <c r="K141" i="2" s="1"/>
  <c r="S135" i="2"/>
  <c r="K135" i="2" s="1"/>
  <c r="J129" i="2"/>
  <c r="J333" i="2" l="1"/>
  <c r="J956" i="2" s="1"/>
  <c r="L135" i="2"/>
  <c r="L141" i="2"/>
  <c r="L147" i="2"/>
  <c r="S129" i="2"/>
  <c r="K129" i="2" s="1"/>
  <c r="S123" i="2"/>
  <c r="K123" i="2" s="1"/>
  <c r="S117" i="2"/>
  <c r="K117" i="2" s="1"/>
  <c r="S111" i="2"/>
  <c r="K111" i="2" s="1"/>
  <c r="S105" i="2"/>
  <c r="K105" i="2" s="1"/>
  <c r="L111" i="2" l="1"/>
  <c r="L129" i="2"/>
  <c r="L105" i="2"/>
  <c r="L99" i="2"/>
  <c r="L117" i="2"/>
  <c r="L123" i="2"/>
  <c r="S93" i="2"/>
  <c r="K93" i="2" s="1"/>
  <c r="S87" i="2"/>
  <c r="K87" i="2" s="1"/>
  <c r="S86" i="2"/>
  <c r="K85" i="2" s="1"/>
  <c r="S84" i="2"/>
  <c r="K84" i="2" s="1"/>
  <c r="S83" i="2"/>
  <c r="K83" i="2" s="1"/>
  <c r="S82" i="2"/>
  <c r="K82" i="2" s="1"/>
  <c r="S81" i="2"/>
  <c r="K81" i="2" s="1"/>
  <c r="S75" i="2"/>
  <c r="K75" i="2" s="1"/>
  <c r="S63" i="2"/>
  <c r="K63" i="2" s="1"/>
  <c r="S57" i="2"/>
  <c r="K57" i="2" s="1"/>
  <c r="S39" i="2"/>
  <c r="K39" i="2" s="1"/>
  <c r="S33" i="2"/>
  <c r="K33" i="2" s="1"/>
  <c r="S27" i="2"/>
  <c r="K27" i="2" s="1"/>
  <c r="L33" i="2" l="1"/>
  <c r="L57" i="2"/>
  <c r="L27" i="2"/>
  <c r="L87" i="2"/>
  <c r="L63" i="2"/>
  <c r="L83" i="2"/>
  <c r="L45" i="2"/>
  <c r="L81" i="2"/>
  <c r="L93" i="2"/>
  <c r="L75" i="2"/>
  <c r="L82" i="2"/>
  <c r="L84" i="2"/>
  <c r="L85" i="2"/>
  <c r="L51" i="2"/>
  <c r="L39" i="2"/>
  <c r="A15" i="2" l="1"/>
  <c r="A21" i="2" s="1"/>
  <c r="A27" i="2" s="1"/>
  <c r="A33" i="2" s="1"/>
  <c r="A39" i="2" s="1"/>
  <c r="A45" i="2" s="1"/>
  <c r="A51" i="2" s="1"/>
  <c r="A57" i="2" s="1"/>
  <c r="S14" i="2"/>
  <c r="K14" i="2" s="1"/>
  <c r="S13" i="2"/>
  <c r="K13" i="2" s="1"/>
  <c r="S12" i="2"/>
  <c r="K12" i="2" s="1"/>
  <c r="S11" i="2"/>
  <c r="K11" i="2" s="1"/>
  <c r="S10" i="2"/>
  <c r="K10" i="2" s="1"/>
  <c r="S9" i="2"/>
  <c r="K9" i="2" s="1"/>
  <c r="K333" i="2" s="1"/>
  <c r="L10" i="2" l="1"/>
  <c r="L14" i="2"/>
  <c r="L12" i="2"/>
  <c r="L13" i="2"/>
  <c r="A63" i="2"/>
  <c r="A69" i="2" s="1"/>
  <c r="L11" i="2"/>
  <c r="L9" i="2"/>
  <c r="L333" i="2" s="1"/>
  <c r="A75" i="2" l="1"/>
  <c r="A81" i="2" s="1"/>
  <c r="A87" i="2" s="1"/>
  <c r="A93" i="2" s="1"/>
  <c r="A99" i="2" s="1"/>
  <c r="A105" i="2" s="1"/>
  <c r="A111" i="2" s="1"/>
  <c r="A117" i="2" s="1"/>
  <c r="A123" i="2" s="1"/>
  <c r="A129" i="2" s="1"/>
  <c r="A135" i="2" s="1"/>
  <c r="A141" i="2" s="1"/>
  <c r="A147" i="2" s="1"/>
  <c r="A153" i="2" s="1"/>
  <c r="A159" i="2" s="1"/>
  <c r="A165" i="2" s="1"/>
  <c r="A171" i="2" s="1"/>
  <c r="A177" i="2" s="1"/>
  <c r="A183" i="2" s="1"/>
  <c r="A189" i="2" s="1"/>
  <c r="A195" i="2" s="1"/>
  <c r="A201" i="2" s="1"/>
  <c r="A207" i="2" s="1"/>
  <c r="A213" i="2" s="1"/>
  <c r="A219" i="2" s="1"/>
  <c r="L195" i="3"/>
  <c r="L194" i="3"/>
  <c r="L193" i="3"/>
  <c r="L192" i="3"/>
  <c r="L191" i="3"/>
  <c r="L190" i="3"/>
  <c r="L189" i="3"/>
  <c r="L188" i="3"/>
  <c r="L187" i="3"/>
  <c r="L186" i="3"/>
  <c r="J186" i="3"/>
  <c r="L185" i="3"/>
  <c r="L184" i="3"/>
  <c r="L183" i="3"/>
  <c r="L182" i="3"/>
  <c r="L181" i="3"/>
  <c r="L180" i="3"/>
  <c r="L179" i="3"/>
  <c r="L178" i="3"/>
  <c r="L177" i="3"/>
  <c r="L176" i="3"/>
  <c r="J175" i="3"/>
  <c r="L175" i="3" s="1"/>
  <c r="L174" i="3"/>
  <c r="L173" i="3"/>
  <c r="L172" i="3"/>
  <c r="L171" i="3"/>
  <c r="L170" i="3"/>
  <c r="L168" i="3"/>
  <c r="L167" i="3"/>
  <c r="L166" i="3"/>
  <c r="L165" i="3"/>
  <c r="L164" i="3"/>
  <c r="J163" i="3"/>
  <c r="L163" i="3" s="1"/>
  <c r="L162" i="3"/>
  <c r="L161" i="3"/>
  <c r="L160" i="3"/>
  <c r="L158" i="3"/>
  <c r="L157" i="3"/>
  <c r="L156" i="3"/>
  <c r="L155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29" i="3"/>
  <c r="J128" i="3"/>
  <c r="L128" i="3" s="1"/>
  <c r="L127" i="3"/>
  <c r="L126" i="3"/>
  <c r="L125" i="3"/>
  <c r="L124" i="3"/>
  <c r="L123" i="3"/>
  <c r="L121" i="3"/>
  <c r="L120" i="3"/>
  <c r="L118" i="3"/>
  <c r="L116" i="3"/>
  <c r="L115" i="3"/>
  <c r="L114" i="3"/>
  <c r="L113" i="3"/>
  <c r="L112" i="3"/>
  <c r="L111" i="3"/>
  <c r="L110" i="3"/>
  <c r="J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A6" i="3"/>
  <c r="A7" i="3" s="1"/>
  <c r="A8" i="3" s="1"/>
  <c r="A9" i="3" s="1"/>
  <c r="A10" i="3" s="1"/>
  <c r="A11" i="3" s="1"/>
  <c r="A14" i="3" s="1"/>
  <c r="A15" i="3" s="1"/>
  <c r="A16" i="3" s="1"/>
  <c r="L5" i="3"/>
  <c r="J5" i="3"/>
  <c r="A225" i="2" l="1"/>
  <c r="A231" i="2" s="1"/>
  <c r="A237" i="2" s="1"/>
  <c r="A17" i="3"/>
  <c r="A23" i="3" s="1"/>
  <c r="A24" i="3" s="1"/>
  <c r="A25" i="3" s="1"/>
  <c r="A3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5" i="3" s="1"/>
  <c r="A66" i="3" s="1"/>
  <c r="A67" i="3" s="1"/>
  <c r="A68" i="3" s="1"/>
  <c r="A69" i="3" s="1"/>
  <c r="A71" i="3" s="1"/>
  <c r="A72" i="3" s="1"/>
  <c r="A73" i="3" s="1"/>
  <c r="A74" i="3" s="1"/>
  <c r="A75" i="3" s="1"/>
  <c r="A76" i="3" s="1"/>
  <c r="A77" i="3" s="1"/>
  <c r="A80" i="3" s="1"/>
  <c r="A81" i="3" s="1"/>
  <c r="A82" i="3" s="1"/>
  <c r="A83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2" i="3" s="1"/>
  <c r="A103" i="3" s="1"/>
  <c r="A104" i="3" s="1"/>
  <c r="A105" i="3" s="1"/>
  <c r="A106" i="3" s="1"/>
  <c r="A108" i="3" s="1"/>
  <c r="A109" i="3" s="1"/>
  <c r="A110" i="3" s="1"/>
  <c r="A111" i="3" s="1"/>
  <c r="A112" i="3" s="1"/>
  <c r="A118" i="3" s="1"/>
  <c r="A120" i="3" s="1"/>
  <c r="A121" i="3" s="1"/>
  <c r="A123" i="3" s="1"/>
  <c r="A124" i="3" s="1"/>
  <c r="A125" i="3" s="1"/>
  <c r="A126" i="3" s="1"/>
  <c r="A127" i="3" s="1"/>
  <c r="A128" i="3" s="1"/>
  <c r="A129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5" i="3" s="1"/>
  <c r="A156" i="3" s="1"/>
  <c r="A157" i="3" s="1"/>
  <c r="A158" i="3" s="1"/>
  <c r="A160" i="3" s="1"/>
  <c r="A161" i="3" s="1"/>
  <c r="A162" i="3" s="1"/>
  <c r="A163" i="3" s="1"/>
  <c r="A164" i="3" s="1"/>
  <c r="A165" i="3" s="1"/>
  <c r="A166" i="3" s="1"/>
  <c r="A167" i="3" s="1"/>
  <c r="A168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243" i="2" l="1"/>
  <c r="A249" i="2" s="1"/>
  <c r="A255" i="2" s="1"/>
  <c r="A261" i="2" s="1"/>
  <c r="A266" i="2" s="1"/>
  <c r="A273" i="2" s="1"/>
  <c r="A279" i="2" s="1"/>
  <c r="A285" i="2" s="1"/>
  <c r="A291" i="2" s="1"/>
  <c r="A296" i="2" s="1"/>
  <c r="A303" i="2" s="1"/>
  <c r="A309" i="2" s="1"/>
  <c r="A315" i="2" s="1"/>
  <c r="A347" i="2" s="1"/>
  <c r="A353" i="2" s="1"/>
  <c r="A359" i="2" s="1"/>
  <c r="A365" i="2" s="1"/>
  <c r="A371" i="2" s="1"/>
  <c r="A377" i="2" s="1"/>
  <c r="A383" i="2" s="1"/>
  <c r="A389" i="2" s="1"/>
  <c r="A395" i="2" l="1"/>
  <c r="A401" i="2" s="1"/>
  <c r="A407" i="2" s="1"/>
  <c r="A413" i="2" s="1"/>
  <c r="A419" i="2" s="1"/>
  <c r="A425" i="2" s="1"/>
  <c r="A431" i="2" s="1"/>
  <c r="A437" i="2" s="1"/>
  <c r="A443" i="2" s="1"/>
  <c r="A449" i="2" s="1"/>
  <c r="A455" i="2" s="1"/>
  <c r="A461" i="2" s="1"/>
  <c r="A467" i="2" s="1"/>
  <c r="A473" i="2" s="1"/>
  <c r="A479" i="2" s="1"/>
  <c r="A485" i="2" s="1"/>
  <c r="A491" i="2" s="1"/>
  <c r="A497" i="2" s="1"/>
  <c r="A503" i="2" s="1"/>
  <c r="A509" i="2" s="1"/>
  <c r="A515" i="2" s="1"/>
  <c r="A321" i="2"/>
  <c r="A327" i="2" s="1"/>
  <c r="A521" i="2" l="1"/>
  <c r="A527" i="2" s="1"/>
  <c r="A533" i="2" s="1"/>
  <c r="A539" i="2" s="1"/>
  <c r="A545" i="2" s="1"/>
  <c r="A551" i="2" s="1"/>
  <c r="A557" i="2" s="1"/>
  <c r="A563" i="2" s="1"/>
  <c r="A569" i="2" l="1"/>
  <c r="A575" i="2" s="1"/>
  <c r="A581" i="2" s="1"/>
  <c r="A587" i="2" s="1"/>
  <c r="A593" i="2" s="1"/>
  <c r="A616" i="2"/>
  <c r="A627" i="2" s="1"/>
  <c r="A633" i="2" s="1"/>
  <c r="A639" i="2" s="1"/>
  <c r="A645" i="2" s="1"/>
  <c r="A651" i="2" s="1"/>
  <c r="A657" i="2" s="1"/>
  <c r="A663" i="2" s="1"/>
  <c r="A669" i="2" s="1"/>
  <c r="A675" i="2" s="1"/>
  <c r="A681" i="2" s="1"/>
  <c r="A687" i="2" s="1"/>
  <c r="A693" i="2" s="1"/>
  <c r="A699" i="2" s="1"/>
  <c r="A705" i="2" s="1"/>
  <c r="A711" i="2" s="1"/>
  <c r="A717" i="2" s="1"/>
  <c r="A723" i="2" s="1"/>
  <c r="A729" i="2" s="1"/>
  <c r="A735" i="2" s="1"/>
  <c r="A741" i="2" l="1"/>
  <c r="A747" i="2" s="1"/>
  <c r="A773" i="2" l="1"/>
  <c r="A779" i="2" s="1"/>
  <c r="A785" i="2" s="1"/>
  <c r="A791" i="2" s="1"/>
  <c r="A797" i="2" s="1"/>
  <c r="A803" i="2" s="1"/>
  <c r="A809" i="2" s="1"/>
  <c r="A815" i="2" s="1"/>
  <c r="A821" i="2" s="1"/>
  <c r="A827" i="2" s="1"/>
  <c r="A833" i="2" s="1"/>
  <c r="A839" i="2" s="1"/>
  <c r="A845" i="2" s="1"/>
  <c r="A851" i="2" s="1"/>
  <c r="A857" i="2" s="1"/>
  <c r="A863" i="2" s="1"/>
  <c r="A753" i="2"/>
  <c r="A869" i="2" l="1"/>
  <c r="A883" i="2" s="1"/>
  <c r="A889" i="2" s="1"/>
  <c r="A895" i="2" s="1"/>
  <c r="A901" i="2" s="1"/>
  <c r="A907" i="2" s="1"/>
  <c r="A913" i="2" s="1"/>
  <c r="A919" i="2" s="1"/>
  <c r="A925" i="2" s="1"/>
  <c r="A931" i="2" s="1"/>
  <c r="A937" i="2" s="1"/>
  <c r="A943" i="2" s="1"/>
  <c r="S699" i="2"/>
  <c r="K699" i="2" l="1"/>
  <c r="K759" i="2" s="1"/>
  <c r="K956" i="2" s="1"/>
  <c r="L699" i="2"/>
  <c r="L759" i="2" s="1"/>
  <c r="L956" i="2" s="1"/>
</calcChain>
</file>

<file path=xl/comments1.xml><?xml version="1.0" encoding="utf-8"?>
<comments xmlns="http://schemas.openxmlformats.org/spreadsheetml/2006/main">
  <authors>
    <author>Автор</author>
  </authors>
  <commentList>
    <comment ref="S2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L1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<sst xmlns="http://schemas.openxmlformats.org/spreadsheetml/2006/main" count="3625" uniqueCount="1282">
  <si>
    <t>№ п/п</t>
  </si>
  <si>
    <t>Организационно-правовая форма юридического лица, балансодержателя, его юридический адрес</t>
  </si>
  <si>
    <t>Наименование арендатора</t>
  </si>
  <si>
    <t>Наименование объекта, сдаваемого в аренду, и (для недвижимого имущества) его местонахождение (литеры, номера, адреса)</t>
  </si>
  <si>
    <t>Площадь объекта (кв.м.) (для недвижимого имущества)</t>
  </si>
  <si>
    <t>Период (по кварталам)</t>
  </si>
  <si>
    <t>Сумма арендной платы в месяц (для недвижимого имущества - за 1 кв.м в месяц)</t>
  </si>
  <si>
    <t>Дата заключения договора аренды</t>
  </si>
  <si>
    <t>Срок аренды</t>
  </si>
  <si>
    <t>Сумма фактически поступившей арендной платы на отчетную дату, руб.</t>
  </si>
  <si>
    <t>Сумма начисленной арендной платы на отчетную дату, руб.</t>
  </si>
  <si>
    <t>*</t>
  </si>
  <si>
    <t>Дата и № правового акта (решения) о передаче в аренду муниципального имущества в аренду</t>
  </si>
  <si>
    <t>Способ приобретения арендатором права на заключение договора аренды (открытый аукцион, прямой договор)</t>
  </si>
  <si>
    <t>**</t>
  </si>
  <si>
    <t xml:space="preserve">Стоимость права на заключение договора аренды* </t>
  </si>
  <si>
    <t xml:space="preserve">в случае когда право на заключение договора ареды приобретено на открытом аукционе или в порядке, установленном п/п 3) пп а) п.3  Положения о порядке передачи в аренду объектов муниципального имущества города Тирасполя путем заключения прямого договора аренды </t>
  </si>
  <si>
    <t>Примечание***</t>
  </si>
  <si>
    <t>***</t>
  </si>
  <si>
    <t>Сумма недополученного дохода от сдачи в аренду мун-го им-ва**</t>
  </si>
  <si>
    <t>информация о дополнительных соглашениях к договорам аренды</t>
  </si>
  <si>
    <t>1 кв.</t>
  </si>
  <si>
    <t>2 кв.</t>
  </si>
  <si>
    <t>3 кв.</t>
  </si>
  <si>
    <t>4 кв.</t>
  </si>
  <si>
    <t>ИТОГО:</t>
  </si>
  <si>
    <t>Дата окончания срока аренды</t>
  </si>
  <si>
    <t xml:space="preserve">2. </t>
  </si>
  <si>
    <t>и т.д.</t>
  </si>
  <si>
    <t>ВСЕГО, в том числе:</t>
  </si>
  <si>
    <t>1)</t>
  </si>
  <si>
    <t xml:space="preserve">1) </t>
  </si>
  <si>
    <t>3.</t>
  </si>
  <si>
    <t>руб. ПМР</t>
  </si>
  <si>
    <t>к Решению Тираспольского городского Совета</t>
  </si>
  <si>
    <t>К-во раз подряд просрочки арендной платы и (или) коммунальных платежей, принятые меры</t>
  </si>
  <si>
    <t>Дата и № правового акта (решения) о передаче в безвозмездное временное пользование</t>
  </si>
  <si>
    <t>Наименование ссудодателя</t>
  </si>
  <si>
    <t>Вид деятельности на объекте по договору</t>
  </si>
  <si>
    <t>Срок безвозмездного пользования</t>
  </si>
  <si>
    <t xml:space="preserve">Дата заключения договора </t>
  </si>
  <si>
    <t>Дата окончания договора</t>
  </si>
  <si>
    <t>электроэнергия</t>
  </si>
  <si>
    <t>водопотребление и водоотведение</t>
  </si>
  <si>
    <t>газ</t>
  </si>
  <si>
    <t>тепловая энергия</t>
  </si>
  <si>
    <t>вывоз мусора</t>
  </si>
  <si>
    <t>1.</t>
  </si>
  <si>
    <t>Вид услуг</t>
  </si>
  <si>
    <t>Сумма недополученного местным бюджетом дохода  (арендной платы), руб.</t>
  </si>
  <si>
    <t>ВСЕГО:</t>
  </si>
  <si>
    <t xml:space="preserve">Наименование ссудополучателя* </t>
  </si>
  <si>
    <t>за кем по договору закреплены обязательства по оплате коммунальных платежей</t>
  </si>
  <si>
    <t>в том числе:</t>
  </si>
  <si>
    <t>сумма задолж-ти перед местным бюджетом г. Тирасполь</t>
  </si>
  <si>
    <t>сумма подлежащая зачислению в доход местного бюджета г. Тирасполь</t>
  </si>
  <si>
    <t>Задолженность по арендной плате на отчетную дату, руб.</t>
  </si>
  <si>
    <t xml:space="preserve">Сумма задолженности по арендной плате по состоянию на 01.01.202__г., руб. </t>
  </si>
  <si>
    <t>Срок внесения платежа</t>
  </si>
  <si>
    <t>сумма задолж-ти перед организацией, являющейся арендодателем</t>
  </si>
  <si>
    <t xml:space="preserve">на р/с организации, являющейся арендодателем  </t>
  </si>
  <si>
    <t>сумма подлежащая зачислению в доход организации, являющейся арендодателем</t>
  </si>
  <si>
    <t>Всего (гр.14+гр.15)</t>
  </si>
  <si>
    <t>Всего (гр.19+гр.20)</t>
  </si>
  <si>
    <t>х</t>
  </si>
  <si>
    <t>Информация о результатах сдачи в аренду движимого и недвижжимого имущества муниципальной собственности по состоянию на _______________ 20 __ года.</t>
  </si>
  <si>
    <t>ВСЕГО</t>
  </si>
  <si>
    <t>Задолженность по коммунальным платежам</t>
  </si>
  <si>
    <t>в т.ч. за отчетный период</t>
  </si>
  <si>
    <t>Итого, в том числе:</t>
  </si>
  <si>
    <t>Примечание**</t>
  </si>
  <si>
    <t>Наименование объекта, сдаваемого в безвозм. пользов., его местонахождение (литеры, номера)</t>
  </si>
  <si>
    <t xml:space="preserve">Информация о результатах передачи в безвозмездное временное пользование имущества муниципальной собственности </t>
  </si>
  <si>
    <t>Приложение № 7</t>
  </si>
  <si>
    <t>Приложение № 1</t>
  </si>
  <si>
    <t>народных депутатов № 28 от 09.02.2017 г.</t>
  </si>
  <si>
    <t>заполняется на основании Акта сверки с Налоговой инспекцией по г. Тирасполь</t>
  </si>
  <si>
    <t>в случае предоставления отсрочек, рассрочек по арендной плате, частичного освобождения от уплаты аренды, указывается размер средств освобожденных от перечисления в местный бюджет и на расчетный счет организации, а также</t>
  </si>
  <si>
    <t xml:space="preserve"> основание предоставления освобождений, отсрочек, рассрочек. </t>
  </si>
  <si>
    <t>Всего (гр.21=гр.23)</t>
  </si>
  <si>
    <t>Всего (гр.13+гр.18-гр.21)</t>
  </si>
  <si>
    <t xml:space="preserve">на р/с местного бюджета г. Тирасполь </t>
  </si>
  <si>
    <t>2)</t>
  </si>
  <si>
    <t>заполняется на основании Акта сверки с Арендатором</t>
  </si>
  <si>
    <r>
      <t>сумма задолж-ти перед местным бюджетом г. Тирасполь</t>
    </r>
    <r>
      <rPr>
        <vertAlign val="superscript"/>
        <sz val="8"/>
        <color theme="1"/>
        <rFont val="Times New Roman"/>
        <family val="1"/>
        <charset val="204"/>
      </rPr>
      <t xml:space="preserve"> 1)</t>
    </r>
    <r>
      <rPr>
        <sz val="8"/>
        <color theme="1"/>
        <rFont val="Times New Roman"/>
        <family val="1"/>
        <charset val="204"/>
      </rPr>
      <t xml:space="preserve"> (гр.14+гр.19-гр.22)</t>
    </r>
  </si>
  <si>
    <r>
      <t xml:space="preserve">сумма задолж-ти перед организацией, являющейся арендодателем  </t>
    </r>
    <r>
      <rPr>
        <vertAlign val="superscript"/>
        <sz val="8"/>
        <color theme="1"/>
        <rFont val="Times New Roman"/>
        <family val="1"/>
        <charset val="204"/>
      </rPr>
      <t>2)</t>
    </r>
    <r>
      <rPr>
        <sz val="8"/>
        <color theme="1"/>
        <rFont val="Times New Roman"/>
        <family val="1"/>
        <charset val="204"/>
      </rPr>
      <t xml:space="preserve"> (гр.15+гр.20-гр.23+гр.22)</t>
    </r>
  </si>
  <si>
    <t>народных депутатов № 26 от 28 октября 2021 г.</t>
  </si>
  <si>
    <t>Реестр по безвозмездному пользованию объектов муниципальной собственности</t>
  </si>
  <si>
    <t>№</t>
  </si>
  <si>
    <t>Срок безвозмездного пользовани объектом</t>
  </si>
  <si>
    <t>№ и дата решения</t>
  </si>
  <si>
    <t>Наименование ссудополучателя</t>
  </si>
  <si>
    <t>Балансо-держатель</t>
  </si>
  <si>
    <t>Адрес объекта</t>
  </si>
  <si>
    <t>Наименование объекта безвозмездного пользования</t>
  </si>
  <si>
    <t>Площадь объекта                                          (кв. м)</t>
  </si>
  <si>
    <t>Вид деятельности</t>
  </si>
  <si>
    <t>Сумма                              арендной  платы недополученной  бюджетом                      г. Тирасполь</t>
  </si>
  <si>
    <t>Дата заключения договора</t>
  </si>
  <si>
    <t>Дата окончания срока договора</t>
  </si>
  <si>
    <t>Государственной администрации</t>
  </si>
  <si>
    <t>ТГСНД</t>
  </si>
  <si>
    <t>МУП "ЖЭУК г. Тирасполь"</t>
  </si>
  <si>
    <t>№ 720 от 19.03.2018</t>
  </si>
  <si>
    <t>№ 20 от 22.02.2018</t>
  </si>
  <si>
    <t>ОО "Тираспольский Союз инвалидов"</t>
  </si>
  <si>
    <t>МУП "ЖЭУК                       г.  Тирасполь"</t>
  </si>
  <si>
    <t>г. Тирасполь,                                      ул. 25 Октября, д. 116</t>
  </si>
  <si>
    <t>Здание литер Б, состоящая из помещений 1-го этажа №№ 1 – 4, 6, 7 (52,5 кв.м), и часть здания лит. А, состоящая из помещений подвала №№ 2 - 8, 12 (57,37 кв.м)</t>
  </si>
  <si>
    <t>под деятельность организации</t>
  </si>
  <si>
    <t>№ 282 от 31.01.2018</t>
  </si>
  <si>
    <t>№ 46 от 28.12.2017, внесение изм. № № 6 от 25.01.2018</t>
  </si>
  <si>
    <t>ОО "Союз защитников Приднестровья"</t>
  </si>
  <si>
    <t>МУП "ЖЭУК                              г.  Тирасполь"</t>
  </si>
  <si>
    <t>г. Тирасполь,                                   ул. Котовского, д. 23</t>
  </si>
  <si>
    <t>Часть здания, состоящая из помещений  1-го этажа №№ 1 - 17 (165,4 кв.м), помещения подвала № 1 (27,2 кв.м)</t>
  </si>
  <si>
    <t>для размещения служебных помещений</t>
  </si>
  <si>
    <t>№ 784 от 22.03.2018</t>
  </si>
  <si>
    <t>ОО "Тираспольское общество "Чернобыль"</t>
  </si>
  <si>
    <t>МУП "ЖЭУК                                 г.  Тирасполь"</t>
  </si>
  <si>
    <t>г. Тирасполь,                                    ул. К. Либкнехта, д. 82</t>
  </si>
  <si>
    <t xml:space="preserve">Часть здания, состоящая из помещений полуподвала №№ 14, 15, 26, 27 </t>
  </si>
  <si>
    <t>№ 783 от 22.03.2018</t>
  </si>
  <si>
    <t>№ 20 от 22.02.2019</t>
  </si>
  <si>
    <t>ОО "Федерация бокса г. Тирасполь"</t>
  </si>
  <si>
    <t>Часть здания, состоящая из помещений полуподвала № 25</t>
  </si>
  <si>
    <t>№ 3294 от 07.12.2017</t>
  </si>
  <si>
    <t>№ 30 от 23.11.2017</t>
  </si>
  <si>
    <t>Тираспольская общественная организация незрячих и слабовидящих</t>
  </si>
  <si>
    <t>МУП "ЖЭУК                                     г.  Тирасполь"</t>
  </si>
  <si>
    <t xml:space="preserve">г. Тимрасполь,                         ул. Котовского, д. 25                        </t>
  </si>
  <si>
    <t>Часть здания, состоящая из помещений 1- этажа №№ 1, 2, 3, 4</t>
  </si>
  <si>
    <t>офис</t>
  </si>
  <si>
    <t>№ 2504 от 17.06.2008</t>
  </si>
  <si>
    <t>ОО "Тираспольский союз "Память"</t>
  </si>
  <si>
    <t>МУП "ЖЭУК                                       г.  Тирасполь"</t>
  </si>
  <si>
    <t>г. Тирасполь,                                        ул. 9 Января, д. 210</t>
  </si>
  <si>
    <t>Часть здания состоящая из помещений №№ 10,12</t>
  </si>
  <si>
    <t>бессрочно</t>
  </si>
  <si>
    <t>№ 3244 от 09.09.2009</t>
  </si>
  <si>
    <t>-</t>
  </si>
  <si>
    <t>СЗАО "Интерднестрком"</t>
  </si>
  <si>
    <t>МУП "ЖЭУК                                             г.  Тирасполь"</t>
  </si>
  <si>
    <t xml:space="preserve">г. Тирасполь,                                   ул. К. Цеткин, д. 1/1   </t>
  </si>
  <si>
    <t>Часть здания, крыш жилого дома</t>
  </si>
  <si>
    <t>телефонные станции</t>
  </si>
  <si>
    <t xml:space="preserve">г. Тирасполь,                                     ул. Крупской, д. 5 </t>
  </si>
  <si>
    <t xml:space="preserve">г. Тирасполь,                                      ул. Свердлова, д. 70           </t>
  </si>
  <si>
    <t>№ 3786 от 24.11.2010</t>
  </si>
  <si>
    <t>№ 13                                     от 3.03.2011</t>
  </si>
  <si>
    <t>МУП "ЖЭУК                                           г.  Тирасполь"</t>
  </si>
  <si>
    <t>г. Тирасполь,                                     ул. Юности, д. 37</t>
  </si>
  <si>
    <t>Часть технического этажа жилого дома</t>
  </si>
  <si>
    <t>для обслуживания сотовой связью</t>
  </si>
  <si>
    <t>№ 721 от 19.03.2018</t>
  </si>
  <si>
    <t>№ 30 от 23.11.2017, внесение изм. № 21 от 22.02.2018</t>
  </si>
  <si>
    <t>ОО  "Союз ветеранов Афганистана"</t>
  </si>
  <si>
    <t>г. Тирасполь,                                      ул. Свердлова, д. 70</t>
  </si>
  <si>
    <t>Часть здания, состоящая из помещений подвала №№ 21, 23, 24, 26, 27, 44, 45, 46, 47, 48</t>
  </si>
  <si>
    <t>под служебные помещения</t>
  </si>
  <si>
    <t>№ 888 от 02.04.2018</t>
  </si>
  <si>
    <t>ГУП "ЕРЭС"</t>
  </si>
  <si>
    <t>МУП "ЖЭУК                                                г.  Тирасполь"</t>
  </si>
  <si>
    <t>г. Тирасполь,                                  ул. Одесская, д. 80/5</t>
  </si>
  <si>
    <t xml:space="preserve">Часть здания, состоящая из помещения подвала № 6 </t>
  </si>
  <si>
    <t>для размещения рабочего персонала Тираспольских районных электрических сетей ГУП «ЕРЭС».</t>
  </si>
  <si>
    <t>№ 1229 от 15.05.2018</t>
  </si>
  <si>
    <t>№ 40 от 29.03.2018</t>
  </si>
  <si>
    <t>УВД г. Тирасполь</t>
  </si>
  <si>
    <t>МУП "ЖЭУК                                               г.  Тирасполь"</t>
  </si>
  <si>
    <t>г. Тирасполь,                                ул. Энгельса, д. 15</t>
  </si>
  <si>
    <t>Часть здания, состоящая из помещений полуподвала № 8, 9</t>
  </si>
  <si>
    <t>для размещения пунктов правопорядка</t>
  </si>
  <si>
    <t>г. Тирасполь,                                   ул. Гвардейская, д. 42</t>
  </si>
  <si>
    <t>Часть здания, состоящая из помещений 1-го этажа №№ 18, 23, 24, 25, 35, 36, 37</t>
  </si>
  <si>
    <t>г. Тирасполь,                                        ул. К. Либкнехта, д. 377</t>
  </si>
  <si>
    <t>Часть здания, состоящая из помещений 1-го этажа №№ 37 - 43</t>
  </si>
  <si>
    <t>г. Тирасполь,                                     ул. Сакриера, д. 57</t>
  </si>
  <si>
    <t xml:space="preserve">Часть здания, состоящая из помещений 1-го этажа №№ 9, 10, 17, 18, 19, 20 </t>
  </si>
  <si>
    <t>г. Тирасполь,                                       ул. Курчатова, д. 74</t>
  </si>
  <si>
    <t>Часть здания, состоящая из помещений подвала №№ 8-15</t>
  </si>
  <si>
    <t>г. Тирасполь,                                        ул. Текстильщиков, д. 38</t>
  </si>
  <si>
    <t>Часть здания, состоящая из помещений 1 этажа №№ 2, 15,16,23,24,33</t>
  </si>
  <si>
    <t>№ 3293 от 7.12.2017</t>
  </si>
  <si>
    <t xml:space="preserve">Представительство Республики Абхазия в ПМР </t>
  </si>
  <si>
    <t>МУП "ЖЭУК                                                 г.  Тирасполь"</t>
  </si>
  <si>
    <t>г. Тирасполь,                                       ул. 25 Октября, д. 76</t>
  </si>
  <si>
    <t>Часть здания, состоящая из помещений 2-го этажа №№ 15, 16, 17, 18, 19, 20</t>
  </si>
  <si>
    <t>№ 171 от 22.01.2018</t>
  </si>
  <si>
    <t>№ 46 от 28.12.2017</t>
  </si>
  <si>
    <t>Представительство Республики Южная Осетия в ПМР</t>
  </si>
  <si>
    <t xml:space="preserve">Часть здания лит. А, состоящая из помещений второго этажа №№ 24, 25, 35   </t>
  </si>
  <si>
    <t>№ 2023 от 2.08.2021</t>
  </si>
  <si>
    <t>№ 42 от 27.05.2021</t>
  </si>
  <si>
    <t>МУП "Спецавтохозяйство г. Тирасполя"</t>
  </si>
  <si>
    <t>г. Тирасполь,                                     ул. Свердлова, д. 86</t>
  </si>
  <si>
    <t xml:space="preserve">Часть здания, состоящая из помещений подвала № 14, 12 </t>
  </si>
  <si>
    <t>для размещения бытовок для рабочих службы уборки</t>
  </si>
  <si>
    <t>г. Тирасполь,                                   ул. Зелинского, д. 23</t>
  </si>
  <si>
    <t xml:space="preserve">Часть здания, состоящая из помещения подвала № 1 </t>
  </si>
  <si>
    <t xml:space="preserve"> г. Тирасполь,                                   ул. Чапаева, д. 147</t>
  </si>
  <si>
    <t xml:space="preserve">Часть здания, состоящая из помещений подвала №№ 28, 29, 30, 31 </t>
  </si>
  <si>
    <t>г. Тирасполь, ул. Пушкина, д. 11</t>
  </si>
  <si>
    <t>Часть здания, состоящая из помещения подвала № 7</t>
  </si>
  <si>
    <t>г. Тирасполь,                                          ул. Правды, д. 11</t>
  </si>
  <si>
    <t xml:space="preserve">Часть здания, состоящая из помещения подвала </t>
  </si>
  <si>
    <t>г. Тирасполь,                                          ул. Гвардейская, д. 48</t>
  </si>
  <si>
    <t>Часть здания, состоящая из помещений подвала №№ 9, 10</t>
  </si>
  <si>
    <t>Часть здания, состоящая из помещения 1-го этажа № 63, 58</t>
  </si>
  <si>
    <t>г. Тирасполь,                                          ул. К. Либкнехта, д. 70</t>
  </si>
  <si>
    <t>Часть здания, состоящая из помещений подвала №№ 16, 23</t>
  </si>
  <si>
    <t>г. Тирасполь,                                          ул. Мира, д. 50/10</t>
  </si>
  <si>
    <t>Часть здания, состоящая из помещения подвала № 10</t>
  </si>
  <si>
    <t>г. Тирасполь, пгт. Новотираспольский,                                         ул. Ленина, д. 1</t>
  </si>
  <si>
    <t>Часть здания, состоящая из помещения подвала № 36</t>
  </si>
  <si>
    <t>№ 2024 от 02.08.2021</t>
  </si>
  <si>
    <t>МУП "Спецавтохозяйство"</t>
  </si>
  <si>
    <t xml:space="preserve">МУП "ЖЭУК г. Тирасполя"  </t>
  </si>
  <si>
    <t>г.Тирасполь,                                                ул. К. Маркса, д. 152</t>
  </si>
  <si>
    <t>Часть здания, состоящая из помещений подвала №№ 8, 21, 24, 25</t>
  </si>
  <si>
    <t>г.Тирасполь,                                                ул. Котовского, д. 36</t>
  </si>
  <si>
    <t>Часть здания, состоящая из помещений подвала №№ 3, 11, 11а, 12</t>
  </si>
  <si>
    <t>г.Тирасполь,                                                                   ул. Мира, д. 48</t>
  </si>
  <si>
    <t>Часть здания, состоящая из помещения подвала № 9</t>
  </si>
  <si>
    <t>г. Тирасполь,                                ул. К. Либкнехта, д. 201/1</t>
  </si>
  <si>
    <t>Часть здания, состоящая из помещения подвала № 11</t>
  </si>
  <si>
    <t>г. Тирасполь, ул. Шевченко, д. 81/2</t>
  </si>
  <si>
    <t>Часть здания, состоящая из помещений подвала № 14</t>
  </si>
  <si>
    <t>г. Тирасполь,                                 пер. Раевского, д. 10</t>
  </si>
  <si>
    <t>Часть здания, состоящая из помещения подвала № 18</t>
  </si>
  <si>
    <t>г. Тирасполь,                                ул. Текстильщиков д. 26</t>
  </si>
  <si>
    <t>Часть здания, состоящая из помещений подвала № № 4, 9</t>
  </si>
  <si>
    <t>г. Тирасполь, ул. Каховская, д. 13/4</t>
  </si>
  <si>
    <t>Часть здания, состоящая из помещений подвала № № 3, 12</t>
  </si>
  <si>
    <t xml:space="preserve">г. Тирасполь,                                  ул. Краснодонская,                       д. 42         </t>
  </si>
  <si>
    <t>Часть здания, состоящая из помещений подвала № № 1, 2, 5, 6, 7</t>
  </si>
  <si>
    <t xml:space="preserve">г. Тирасполь,                                    ул. Одесская, д. 78 </t>
  </si>
  <si>
    <t>Часть здания, состоящая из подвальных помещений №№ 1, 5, 6</t>
  </si>
  <si>
    <t>г. Тирасполь,                                     пер. Вокзальный, 2</t>
  </si>
  <si>
    <t>Часть здания, состоящая из подлесничного помещения</t>
  </si>
  <si>
    <t>№ 1502 от 12.06.2018</t>
  </si>
  <si>
    <t>№ 11 от 24.05.2018</t>
  </si>
  <si>
    <t>МУП  "Тираслифт"</t>
  </si>
  <si>
    <t xml:space="preserve">Часть здания, состоящая из помещений подвала №№ 14, 15, 16, 17, 18, 19, 20, 21, 22 </t>
  </si>
  <si>
    <t>№ 2764 от 17.10.2018</t>
  </si>
  <si>
    <t>№ 42 от 27.09.2018</t>
  </si>
  <si>
    <t>ОО "Бородинский союз инвалидов и ветеранов"</t>
  </si>
  <si>
    <t>г. Тирасполь,                                          ул. Федько, д. 10</t>
  </si>
  <si>
    <t>Часть здания, состоящая из помещений подвала №№ 26/1, 29</t>
  </si>
  <si>
    <t>для организации центра по оказанию помощи</t>
  </si>
  <si>
    <t>бесссрочный</t>
  </si>
  <si>
    <t>МГУП "Тирастеплоэнерго"</t>
  </si>
  <si>
    <t>МУП "ЖЭУК                                            г.  Тирасполь"</t>
  </si>
  <si>
    <t>г. Тирасполь,                                               пр. Магистральный,                          д. 14</t>
  </si>
  <si>
    <t>Часть здания, состоящая из помещений подвала №№ 1, 2</t>
  </si>
  <si>
    <t>для размещения автономной газовой котельной</t>
  </si>
  <si>
    <t>№ 2830 от 24.10.2018</t>
  </si>
  <si>
    <t>МУП "ЖЭУК                                              г.  Тирасполь"</t>
  </si>
  <si>
    <t>г. Тирасполь,                                 ул. Юности, д. 27</t>
  </si>
  <si>
    <t>Часть здания, состоящая из помещений подвала №№ 8, 9, 22</t>
  </si>
  <si>
    <t>для размещения мастерских</t>
  </si>
  <si>
    <t>№ 2028 от 05.07.2016</t>
  </si>
  <si>
    <t>№ 32 от 2.06.2016</t>
  </si>
  <si>
    <t xml:space="preserve">Вохмин Сергей Вячеславович </t>
  </si>
  <si>
    <t>МУП "ЖЭУК г.  Тирасполь"</t>
  </si>
  <si>
    <t>г. Тирасполь, ул. Пушкина, д. 20</t>
  </si>
  <si>
    <t>Часть здания лит. А, состоящая из  чердачных помещений №№ 1, 1’, 2, 3</t>
  </si>
  <si>
    <t>под хозяйственное помещение.</t>
  </si>
  <si>
    <t>№ 1258 от 18.05.2017</t>
  </si>
  <si>
    <t>№ 12 от 06.04.2017</t>
  </si>
  <si>
    <t>МУ "УФКиС г. Тирасполь"</t>
  </si>
  <si>
    <t>г. Тирасполь,                                        бульвар Гагарина, д. 1</t>
  </si>
  <si>
    <t>Часть здания литер А1, состоящая из помещений 1-го этажа №№ 47-58, 60, помещений 2-го этажа №№ 42-45, 47, 50-55</t>
  </si>
  <si>
    <t xml:space="preserve">№ 3375 от 13.12.2017, внес. изм. № 2182 от 17.08.2018 </t>
  </si>
  <si>
    <t>№ 30 от 23.11.2017, № 15 от 19.07.2018</t>
  </si>
  <si>
    <t>г. Тирасполь,                                                      ул. Федько, д. 22</t>
  </si>
  <si>
    <t>Часть здания, состоящая из помещений полуподвала               №№ 1, 1а, 2, 2а, 3, 4, 5, 6, 7, 8, 9</t>
  </si>
  <si>
    <t xml:space="preserve">для организации общественного пункта охраны правопорядка № 2 </t>
  </si>
  <si>
    <t>№ 793 от 22.03.2018</t>
  </si>
  <si>
    <t>ОО "Ветераны войны, труда и вооруженных сил  г. Тирасполя"</t>
  </si>
  <si>
    <t>г. Тирасполь,                                    ул. Шевченко, д. 81/2</t>
  </si>
  <si>
    <t xml:space="preserve">Часть здания, состоящая из помещений подвала №№ 1, 3 </t>
  </si>
  <si>
    <t>для проведения встреч и заседаний первичной организации № 10</t>
  </si>
  <si>
    <t>№ 3258 от 4.12.2018</t>
  </si>
  <si>
    <t>Президиум  № 15/3 от 12.11.2018</t>
  </si>
  <si>
    <t>г. Тирасполь, ул. Юностия, д. 49</t>
  </si>
  <si>
    <t xml:space="preserve">Часть здания, состоящая из подвального помещения № 41 </t>
  </si>
  <si>
    <t>для  размещения теплового пункта</t>
  </si>
  <si>
    <t>№ 45 от 11.01.2019</t>
  </si>
  <si>
    <t>Президиум                         № 18/2 от 17.12.2018</t>
  </si>
  <si>
    <t>г. Тирасполь,                                              ул. 25 Октября, д. 105</t>
  </si>
  <si>
    <t>Часть здания, состоящая из подвального помещения № 17</t>
  </si>
  <si>
    <t>№ 628 от 19.03.2019, изм. № 868 от 12.04.2021</t>
  </si>
  <si>
    <t>Президиум № 2/3 от 27.02.2019</t>
  </si>
  <si>
    <t>МУП "ТПСО"</t>
  </si>
  <si>
    <t>г. Тирасполь,                                 ул. Горького, д. 6</t>
  </si>
  <si>
    <t>Часть здания литер А, состоящая из помещений 2-го этажа №№ 1, 2, 4, 5, 6, 7, 8, 9  общей площадью 118,9  кв. м, гаражи литер Б №№ 2, 3, 4, 5, 7 общей площадью 146,6 кв. м</t>
  </si>
  <si>
    <t>для размещения материально-технической и производственной базы предприятия</t>
  </si>
  <si>
    <t>№ 1474 от 14.06.2019</t>
  </si>
  <si>
    <t>Президиум № 6/1 от 23.04.2019</t>
  </si>
  <si>
    <t>г. Тирасполь,                             ул. Калинина, д. 53</t>
  </si>
  <si>
    <t>Часть здания, состоящая из помещений подвала  №№ 1-6</t>
  </si>
  <si>
    <t>для размещения служебных бытовок</t>
  </si>
  <si>
    <t>№ 1992 от 5.08.2019</t>
  </si>
  <si>
    <t>№ 9 от 25.07.2019</t>
  </si>
  <si>
    <t>МВД ПМР</t>
  </si>
  <si>
    <t>МУП "ЖЭУК                                   г.  Тирасполь"</t>
  </si>
  <si>
    <t>г. Тирасполь,                                            ул. Р. Люксембург,                 д. 77</t>
  </si>
  <si>
    <t>Часть здания, состоящая из помещений первого этажа №№  63-74</t>
  </si>
  <si>
    <t>для размещения Учебно-методического центра Штаба гражданской защиты ГУпоЧС МВД ПМР</t>
  </si>
  <si>
    <t>№ 2226 от 29.08.2019</t>
  </si>
  <si>
    <t>ГУП "ЕРЭС" ТРЭС</t>
  </si>
  <si>
    <t xml:space="preserve">МУП "ЖЭУК                         г. Тирасполя"  </t>
  </si>
  <si>
    <t>г. Тирасполь,                                              ул. К. Либкнехта,                       д. 201/1</t>
  </si>
  <si>
    <t>Часть здания, состоящая из помещений подвала № 2-4</t>
  </si>
  <si>
    <t>для размещения бытовок обслуживающего персонала</t>
  </si>
  <si>
    <t>№ 2491 от 27.09.2019</t>
  </si>
  <si>
    <t>Президеум                     № 14/5 от 9.09.2020</t>
  </si>
  <si>
    <t>ОО "Поддержка многодетных семей"</t>
  </si>
  <si>
    <t>г. Тирасполь,                                                      ул. Федько, д. 10</t>
  </si>
  <si>
    <t>Часть здания, состоящая из помещений подвала № 25, 26'</t>
  </si>
  <si>
    <t>для проведения уставной деятельности организации  по графику: понедельник, четверг с 12:00 ч. до 14:00 ч.</t>
  </si>
  <si>
    <t>№ 2525 от 3.10.2019</t>
  </si>
  <si>
    <t>Президиум                 № 14/4 от 9.09.2019</t>
  </si>
  <si>
    <t xml:space="preserve">МУП "ЖЭУК г. Тирасполя" </t>
  </si>
  <si>
    <t>г. Тирасполь,                                    ул. Одесская, д. 82</t>
  </si>
  <si>
    <t>Часть здания, состоящая из помещений подвала №№ 5, 11</t>
  </si>
  <si>
    <t>для размещения рабочего персонала и мастерских</t>
  </si>
  <si>
    <t>№ 2526 от 3.10.2019</t>
  </si>
  <si>
    <t>Президиум                 № 14/3 от 9.09.2019</t>
  </si>
  <si>
    <t xml:space="preserve">ГУП "Водоснабжение и водоотведение                                               </t>
  </si>
  <si>
    <t>г. Тирасполь,                                                ул. Сакриера, д. 57 "</t>
  </si>
  <si>
    <t xml:space="preserve"> Часть здания, состоящая из части помещения холла № 18 </t>
  </si>
  <si>
    <t>для бытовок обслуживающего персонала ГУП "Водоснабжение и водоотведение"</t>
  </si>
  <si>
    <t xml:space="preserve">г. Тирасполь,                                                ул. Краснодонская, д. 36 </t>
  </si>
  <si>
    <t>Часть здания, состоящая из помещений подвала №№ 54, 58, 59 и части помещения № 57</t>
  </si>
  <si>
    <t>г. Тирасполь,                                   ул. Гвардейская, д. 48</t>
  </si>
  <si>
    <t xml:space="preserve">Часть здания, состоящая из помещений 1-го этажа №№ 53, 54, 55, 59, 61, 62 </t>
  </si>
  <si>
    <t>№ 2606 от 11.10.2019</t>
  </si>
  <si>
    <t>Государственная служба охранвы Приднестровской Молдавской Республики</t>
  </si>
  <si>
    <t>г. Тирасполь,                                ул. 25 Октября, д. 108</t>
  </si>
  <si>
    <t xml:space="preserve">Часть здания, состоящая из помещений технического этажа №№ 1, 2  </t>
  </si>
  <si>
    <t>для размещения средств радиосвязи</t>
  </si>
  <si>
    <t>№ 3048 от 26.11.2019</t>
  </si>
  <si>
    <t>№ 8 от 6.11.2019</t>
  </si>
  <si>
    <t>ГУ "Республиканский центр по протезированию и ортопедии"</t>
  </si>
  <si>
    <t>г. Тирасполь,                                        ул. Ленина, д. 22</t>
  </si>
  <si>
    <t>Часть здания, состоящая из помещений подвала  №№ 47-53, 55, 57-61, 66</t>
  </si>
  <si>
    <t xml:space="preserve">для размещения офиса </t>
  </si>
  <si>
    <t>4.03.2020                  (с 01.01.2020)</t>
  </si>
  <si>
    <t>№ 633 от 4.03.2020</t>
  </si>
  <si>
    <t>Президеум                     № 2/1 от 3.02.2020</t>
  </si>
  <si>
    <t>НП "Единая русская община "Русский дом"</t>
  </si>
  <si>
    <t>Часть здания. состоящая из помещений 2-го этажа № 11</t>
  </si>
  <si>
    <t>для размещения общественной приемной организации</t>
  </si>
  <si>
    <t>4.03.2020                    (с 01.01.2020)</t>
  </si>
  <si>
    <t>№ 634 от 4.03.2020</t>
  </si>
  <si>
    <t>ТОО "Общество Белорусской культуры"</t>
  </si>
  <si>
    <t>г. Тирасполь,                                                 ул. 25 Октября, д. 76</t>
  </si>
  <si>
    <t>Часть здания, состоящая из помещения  2-го этажа № 36</t>
  </si>
  <si>
    <t>11.03.2020        (с 03.01.2020)</t>
  </si>
  <si>
    <t>№ 681 от 11.03.2020</t>
  </si>
  <si>
    <t xml:space="preserve">МУ "УНО                                      г. Тирасполь"         </t>
  </si>
  <si>
    <t>г. Тирасполь,                                       ул. Одесская, д. 76</t>
  </si>
  <si>
    <t>Часть здания, состоящая из помещений полуподвала  №№ 8, 10-22</t>
  </si>
  <si>
    <t>для размещения филиалов Центр социально-воспитательной работы</t>
  </si>
  <si>
    <t>г. Тирасполь,                                    ул. Федько, д. 18</t>
  </si>
  <si>
    <t>Часть здания, состоящая из помещений подвала  №№ 17-28</t>
  </si>
  <si>
    <t>11.03.2020                      (с 03.01.2020)</t>
  </si>
  <si>
    <t>№ 696 от 11.03.2020</t>
  </si>
  <si>
    <t>МУ "УФКС                               г. Тирасполь"</t>
  </si>
  <si>
    <t>г. Тирасполь, ул. Краснодонская, д. 36/5</t>
  </si>
  <si>
    <t>Часть здания, состоящая из помещений подвала  №№ 3, 4, 5</t>
  </si>
  <si>
    <t>для размещения филиала МОУ ДО "ТСДЮШОР борьбы и бокса"</t>
  </si>
  <si>
    <t>№ 837 от 31.03.2020</t>
  </si>
  <si>
    <t>Президиум № 2/1 от 3.02.2020</t>
  </si>
  <si>
    <t>ОО "Ветераны войны, труда и вооруженных сил г. Тирасполя"</t>
  </si>
  <si>
    <t>г. Тирасполь,                                                      ул. 1 Мая, д. 116</t>
  </si>
  <si>
    <t>Часть здания, состоящая из помещений 2-го этажа № 21</t>
  </si>
  <si>
    <t>для размещения первичной организации № 13                              по согласованному графику: вторник                         с 11:00 часов  до 12:00 часов.</t>
  </si>
  <si>
    <t>31.03.2020 (3.01.2020)</t>
  </si>
  <si>
    <t>№ 838 от 31.03.2020</t>
  </si>
  <si>
    <t>Часть здания, состоящая из помещений подвала № 29</t>
  </si>
  <si>
    <t>для проведения встреч ветеранов, согласно графику: вторник с 10:00 до 14:00</t>
  </si>
  <si>
    <t>№ 841 от 31.03.2020</t>
  </si>
  <si>
    <t>Президиум № 19/1 от 12.12.2019</t>
  </si>
  <si>
    <t>ГУ "Тираспольский клинический центр амбулаторно-поликлинической помощи"</t>
  </si>
  <si>
    <t>г. Тирасполь,                                ул. Федько, д. 18</t>
  </si>
  <si>
    <t>Часть здания, состоящая из помещений 1-го этажа №№ 1-22</t>
  </si>
  <si>
    <t>для размещения поликлиники</t>
  </si>
  <si>
    <t>31.03.2020 (01.01.2020)</t>
  </si>
  <si>
    <t>№ 866 от 3.04.2020</t>
  </si>
  <si>
    <t xml:space="preserve">Часть здания, состоящая из помещений 1-го этажа №№ 74 – 77, 77′, 78 - 81 </t>
  </si>
  <si>
    <t>для размещения паспортного отделения по микрорайону «Бородинский» ПО г. Тирасполь ООПРР УпВМ МВД ПМР</t>
  </si>
  <si>
    <t>18.06.2020   (3.01.2020)</t>
  </si>
  <si>
    <t>№ 1218 от 18.06.2020</t>
  </si>
  <si>
    <t>Президиум № 5/2 от 30.03.2020 от 3.02.2021</t>
  </si>
  <si>
    <t>Министерство обороны Приднестровская Молдавская Республика</t>
  </si>
  <si>
    <t xml:space="preserve">г. Тирасполь,                                              ул. 25 Октября, д. 76 </t>
  </si>
  <si>
    <t xml:space="preserve"> Часть здания, состоящая из помещений второго этажа №№ 1-7, 17, 22-25</t>
  </si>
  <si>
    <t>для размещения Отдела строительства и расквартирования</t>
  </si>
  <si>
    <t>30.06.2020               (02.01.2020)</t>
  </si>
  <si>
    <t>№ 1338 от 30.06.2020</t>
  </si>
  <si>
    <t>ГУП "Почта Приднестровья"</t>
  </si>
  <si>
    <t>г. Тирасполь, ул. Сакриера, д. 57</t>
  </si>
  <si>
    <t>Часть здания, состоящая из помещений 1-го этажа №№ 2, 4, 4", 5</t>
  </si>
  <si>
    <t>для размещения отделений почтовой связи ГУП "Почты Приднестровья"</t>
  </si>
  <si>
    <t>г. Тирасполь,                                  ул. Федько, д. 17</t>
  </si>
  <si>
    <t>Часть здания, состоящая из помещений 1-го этажа №№ 64-69, 71, 72</t>
  </si>
  <si>
    <t>г. Тирасполь,                                ул. Юности, д. 15/2</t>
  </si>
  <si>
    <t>Часть здания, состоящая из помещений подвала  №№ 1-5, 18, 20</t>
  </si>
  <si>
    <t>№ 1585 от 21.07.2020</t>
  </si>
  <si>
    <t>Президиум № 15/1 от 22.06.2020</t>
  </si>
  <si>
    <t>г. Тирасполь, ул. Гвардейская, д. 21</t>
  </si>
  <si>
    <t xml:space="preserve">Часть здания, состоящая из помещений подвала № 25 </t>
  </si>
  <si>
    <t>для размещения Индивидуального теплового пункта</t>
  </si>
  <si>
    <t>3.08.2020 (5.02.2020)</t>
  </si>
  <si>
    <t>№ 1784  от 3.08.2020</t>
  </si>
  <si>
    <t>№ 2 от 2.04.2020, президиум               № 5/2 от 30.03.2020</t>
  </si>
  <si>
    <t>ГУП "Водоснабжение и водоотведение"</t>
  </si>
  <si>
    <t>г. Тирасполь, ул.       Котовского, д.36</t>
  </si>
  <si>
    <t xml:space="preserve">Часть здания, состоящая из помещений подвала          №№ 1, 2, 8, 9, 10  </t>
  </si>
  <si>
    <t>для размещения персонала предприятия, хранение материалов и оборудования</t>
  </si>
  <si>
    <t>18.08.2020 (06.05.2020)</t>
  </si>
  <si>
    <t>№ 1956 от 18.08.2020</t>
  </si>
  <si>
    <t>ГУ «Приднестровская Государственная телерадиокомпания»</t>
  </si>
  <si>
    <t xml:space="preserve">г. Тирасполь,                                       ул. Юности,  д. 1 </t>
  </si>
  <si>
    <t xml:space="preserve">Часть здания лит. А, состоящая из помещений №№ 2 – 24 шестнадцатого этажа, помещений № 1, №№ 3 -  14, 16, 17, №№ 20 – 26 семнадцатого этажа, помещений № 1, №№ 3 – 20, №№ 22 – 27 восемнадцатого этажа </t>
  </si>
  <si>
    <t>для размещения                                         ГУ «Приднестровская государственная телерадиокомпания»</t>
  </si>
  <si>
    <t>28.08.2020 (23.12.2019)</t>
  </si>
  <si>
    <t>№ 2108 от 28.08.2020</t>
  </si>
  <si>
    <t>ОО «Тираспольский казачий округ» черноморского казачьего войска</t>
  </si>
  <si>
    <t>г. Тирасполь,                                                       ул. ХХ Партсъезда,                             д. 15 А</t>
  </si>
  <si>
    <t xml:space="preserve">Часть здания, состоящая из помещений подвала №№ 1, 2, 3, 5, 5а, 29 </t>
  </si>
  <si>
    <t>для размещения казачьего детского военно-патриотического клуба</t>
  </si>
  <si>
    <t>г. Тирасполь,                                          ул. Федько, д. 12</t>
  </si>
  <si>
    <t>Часть здания, состоящая из помещений подвала №№ 16, 16', 16'', 7</t>
  </si>
  <si>
    <t>18.09.2020 (06.01.2020)</t>
  </si>
  <si>
    <t>№ 2349 от 18.09.2020</t>
  </si>
  <si>
    <t>РСОО "Союз радиолюбителей Приднестровской Молдавской Республики"</t>
  </si>
  <si>
    <t>г. Тирасполь,                                              ул. Зелинского, д. 15</t>
  </si>
  <si>
    <t>Часть крыши жилого дома (1,5 кв.м) и ½ помещения технического этажа № 3 (47,1 кв.м)</t>
  </si>
  <si>
    <t>для размещения центра развития радиоспорта</t>
  </si>
  <si>
    <t>16.10.2020 (22.09.2020)</t>
  </si>
  <si>
    <t>№ 2956 от 6.11.2020</t>
  </si>
  <si>
    <t>№ 27 от 16.10.2020</t>
  </si>
  <si>
    <t>ОО "Информационно центр" Здоровое будущее"</t>
  </si>
  <si>
    <t xml:space="preserve">МУП "ЖЭУК г. Тирасполя"                </t>
  </si>
  <si>
    <t>г. Тирасполь,                  пер. 2-й Бородинский, д. 2</t>
  </si>
  <si>
    <t>Часть здания, состоящая из помещений полуподвала № 6 - 12, 18- 23</t>
  </si>
  <si>
    <t>молодежный центр психологической поддержки</t>
  </si>
  <si>
    <t>3.03.2021 (6.01.2021)</t>
  </si>
  <si>
    <t>№ 502                     от 3.03.2021</t>
  </si>
  <si>
    <t>№ 21                   от 11.02.2021</t>
  </si>
  <si>
    <t>Потребительсктй кооператив "Садово-огородническое товарищество "Сад ветеранов"</t>
  </si>
  <si>
    <t xml:space="preserve">г. Тирасполь, ул. Краснодонская, д. 36 </t>
  </si>
  <si>
    <t>Часть здания, состоящая из помещения подвала № 35</t>
  </si>
  <si>
    <t>для проведения собраний по графику: четверг с 14:00 ч. до 17:00 ч., суббота с 9:00 ч. до 12: 00 ч.</t>
  </si>
  <si>
    <t>3.03.2021      (2.10.2020)</t>
  </si>
  <si>
    <t>№ 501                 от 3.03.2021</t>
  </si>
  <si>
    <t>ОО "Регбийный клуб "Динамо-центр"</t>
  </si>
  <si>
    <t>г. Тирасполь,                                       ул. 1 Мая, д. 42</t>
  </si>
  <si>
    <t>Часть здания, лит.А, состоящая из подвальных помещений №№ 29-33, 35-46</t>
  </si>
  <si>
    <t>для проведения тренировочного процесса регбистов Приднестровской Молдавской Республики</t>
  </si>
  <si>
    <t>03.03.2021       (20.01.2021)</t>
  </si>
  <si>
    <t>№ 500                  от 03.03.2021</t>
  </si>
  <si>
    <t>ОО "Всеармейское охотничье общество"</t>
  </si>
  <si>
    <t>МУП "ЖЭУК                      г. Тирасполь"</t>
  </si>
  <si>
    <t>г. Тирасполь,                                        ул. К. Либкнехта, д. 84</t>
  </si>
  <si>
    <t>Часть здания, состоящая из помещения полуподвала № 6</t>
  </si>
  <si>
    <t>для размещения ОО «Всеармейское охотничье общество»</t>
  </si>
  <si>
    <t>03.03.2021                   (2.02.2021)</t>
  </si>
  <si>
    <t>№ 537                          от 3.03.2021</t>
  </si>
  <si>
    <t>МУП "Спецавтохозяйство г. Тирасполь"</t>
  </si>
  <si>
    <t xml:space="preserve">МУП "ЖЭУК                     г. Тирасполя"  </t>
  </si>
  <si>
    <t>г. Тирасполь,                            пер. Западный, д. 19/7</t>
  </si>
  <si>
    <t xml:space="preserve">Часть здания, состоящая из помещений 1-го этажа № 60, части помещения № 59 </t>
  </si>
  <si>
    <t>для размещения инвентаря дворников</t>
  </si>
  <si>
    <t>09.03.2021                  ( 1.12.2020)</t>
  </si>
  <si>
    <t>№ 538                   от 9.03.2021</t>
  </si>
  <si>
    <t>№ 21                   от 11.02.2022</t>
  </si>
  <si>
    <t>ГУ "Тираспольская городская стоматологическая поликлиника"</t>
  </si>
  <si>
    <t xml:space="preserve">МУП "ЖЭУК                       г. Тирасполя"  </t>
  </si>
  <si>
    <t>г. Тирасполь,                            ул. Комсомольская, д.10/2</t>
  </si>
  <si>
    <t>Часть здания литер А, состоящая из помещений 1-го этажа №№ 1-23, 26-34, 36-66, 59а, 73, 74, 75, 76, 78, 79, 80 (906,1 кв.м) и помещений подвала №№ 21, 28, 29  (65,6 кв.м)</t>
  </si>
  <si>
    <t>для размещения стоматологической поликлиники</t>
  </si>
  <si>
    <t>на период действия депутатских полномочий, но не более 01.12.2025 года</t>
  </si>
  <si>
    <t>№ 627                              от 16.03.2021</t>
  </si>
  <si>
    <t>№ 2                                             от 4.02.2021</t>
  </si>
  <si>
    <t xml:space="preserve">депутат ТГСНГ                  Дамаскин Иван Андреевич </t>
  </si>
  <si>
    <t xml:space="preserve">МУП "ЖЭУК                           г. Тирасполя"  </t>
  </si>
  <si>
    <t>г. Тирасполь,                            ул. Юности, д. 8/4</t>
  </si>
  <si>
    <t xml:space="preserve">Часть здания, состоящая из полуподвального помещения № 13 </t>
  </si>
  <si>
    <t>для приема граждан по избирательному округу № 30 по графику: пятница с 16:00 часов до 17:00 часов</t>
  </si>
  <si>
    <t>№ 653                       от 16.03.2021</t>
  </si>
  <si>
    <t>депутат ТГСНГ                  Шумейко Евгений Михайлович</t>
  </si>
  <si>
    <t>г. Тирасполь,                            ул. Текстильщиков, д. 38</t>
  </si>
  <si>
    <t xml:space="preserve">Часть здания, состоящая из помещения 1-го этажа № 20 </t>
  </si>
  <si>
    <t>для приема граждан по избирательному округу  № 26 по графику: первая и третья пятница с 16:00 часов до 18:00 часов</t>
  </si>
  <si>
    <t>№ 1169                       от 13.05.2021</t>
  </si>
  <si>
    <t>№ 10                                      от 8.04.2021</t>
  </si>
  <si>
    <t xml:space="preserve">ОО «Тираспольская федерация Шотокан каратэ-до» </t>
  </si>
  <si>
    <t>г. Тирасполь,                         ул. Карла Либкнехта, д. 205/2</t>
  </si>
  <si>
    <t>Часть здания, состоящая из помещений подвала №№ 4-8, 11-16, 18, 21</t>
  </si>
  <si>
    <t>для размещения спортивного клуба</t>
  </si>
  <si>
    <t>№ 1370 от 27.05.2021</t>
  </si>
  <si>
    <t>Депутат ТГСНД Бондаренко Ирина Валерьевна</t>
  </si>
  <si>
    <t>г. Тирасполь,                                       ул. К. Либкнехта, 72</t>
  </si>
  <si>
    <t xml:space="preserve">Часть здания, состоящая из помещения подвала № 27 </t>
  </si>
  <si>
    <t>для размещения общественной приемной депутата для приема граждан по графику: еженедельно по средам с 16:00 часов до 17:00 часов</t>
  </si>
  <si>
    <t>№ 1617 от 21.06.2021</t>
  </si>
  <si>
    <t>Депутат ТГСНД Соляр Александр Анатольевич</t>
  </si>
  <si>
    <t>г. Тирасполь,                                       ул.Комарова, д. 17</t>
  </si>
  <si>
    <t>Часть здания, состоящая из полуподвальных помещений №№ 1, 5</t>
  </si>
  <si>
    <t>для приема граждан по избирательному округу № 25 по следующему графику: вторая и четвертая пятница с 17:00 часов до 18:00 часов</t>
  </si>
  <si>
    <t>№ 1748 от 5.07.2021</t>
  </si>
  <si>
    <t>МУ "УНО г. Тирасполь</t>
  </si>
  <si>
    <t>Часть здания, состоящая из помещений подвала  №№ 6, 16</t>
  </si>
  <si>
    <t>для размещения предметов гуманитарной помощи семьям, состоящим на профилактическом учёте МСУ «Центр социально-воспитательной работы» и нуждающимся в особой материальной поддержке</t>
  </si>
  <si>
    <t>№ 1935 от 20.07.2021</t>
  </si>
  <si>
    <t>МУ "Служба социальной помощи г. Тирасполь"</t>
  </si>
  <si>
    <t>г. Тирасполь,                                                           ул. 1 Мая,  д. 116</t>
  </si>
  <si>
    <t>Часть здания, состоящая из помещений 2-го этажа №№  1-6</t>
  </si>
  <si>
    <t>для осуществления основной деятельности</t>
  </si>
  <si>
    <t>№ 2004 от 27.07.2021</t>
  </si>
  <si>
    <t>№ 42 от  27.05.2021</t>
  </si>
  <si>
    <t>Единый государственный фонд социального страхования ПМР</t>
  </si>
  <si>
    <t>МУП "ЖЭУК  г. Тирасполь"</t>
  </si>
  <si>
    <t>г. Тирасполь,                                       ул. 25 Октября, д. 114</t>
  </si>
  <si>
    <t>Капитальной гараж № 4</t>
  </si>
  <si>
    <t>для служебных целей</t>
  </si>
  <si>
    <t>на неопределенный срок</t>
  </si>
  <si>
    <t>№ 2118 от 10.08.2021</t>
  </si>
  <si>
    <t>№ 42 от 07.05.2021</t>
  </si>
  <si>
    <t>г. Тирасполь, ул. Комсомольская, д. 9</t>
  </si>
  <si>
    <t>Часть крыши жилого дома</t>
  </si>
  <si>
    <t>для размещения оборудования связи</t>
  </si>
  <si>
    <t>г. Тирасполь,                             ул. 1 Мая, д. 50</t>
  </si>
  <si>
    <t>№ 2240 от 20.08.2021</t>
  </si>
  <si>
    <t>№ 9 от 29.07.2021</t>
  </si>
  <si>
    <t>ОО "Тираспольская федерация Шотокан каратэ-до"</t>
  </si>
  <si>
    <t>г. Тирасполь,                                       ул. Калинина, д. 66</t>
  </si>
  <si>
    <t>Часть здания, состоящая из помещений подвала  №№ 15,16, 23,24,25</t>
  </si>
  <si>
    <t>для размещения спортивного клуба "Богатырь"</t>
  </si>
  <si>
    <t>№ 2242 от 20.08.2021</t>
  </si>
  <si>
    <t>Автономная некоммерческая организация «Филиал Института стран СНГ в г. Тирасполь»</t>
  </si>
  <si>
    <t>г. Тирасполь,                                      ул. 25 Октября, д. 76</t>
  </si>
  <si>
    <t xml:space="preserve">Часть здания, состоящая из помещений 2-го этажа №№ 13, 14 </t>
  </si>
  <si>
    <t xml:space="preserve">для размещения АНО «Филиал Института стран СНГ г. Тирасполь» </t>
  </si>
  <si>
    <t>№ 2767а от 20.10.2021</t>
  </si>
  <si>
    <t>Министерство по социальной защите и труду ПМР</t>
  </si>
  <si>
    <t>г. Тирасполь,                                    ул. 1 Мая, д. 116</t>
  </si>
  <si>
    <t xml:space="preserve">Часть здания, состоящая из помещений 2-го этажа №№ 8, 9, 20, 22 </t>
  </si>
  <si>
    <t>для осуществления деятельности территориального подразделения Государственной службы опеки и попечительства, поддержки семей в группе Министерства по социальной защите и труду ПМР.</t>
  </si>
  <si>
    <t>№ 2874 от 3.11.2021</t>
  </si>
  <si>
    <t xml:space="preserve">№ 6 от 9.09.2021 </t>
  </si>
  <si>
    <t>ОО "Союз русских общин Приднестровья"</t>
  </si>
  <si>
    <t>г. Тирасполь,                             ул. 25 Октября, д. 76</t>
  </si>
  <si>
    <t>Часть здания, состоящая из помещения 2-го этажа № 22</t>
  </si>
  <si>
    <t>под размещение ОО "Союз русских общин Приднестровья"</t>
  </si>
  <si>
    <t>№ 2871 от 03.11.2021</t>
  </si>
  <si>
    <t>г. Тирасполь,                                           ул. Юности, д. 8/4</t>
  </si>
  <si>
    <t>Часть здания, состоящая из помещения полуподвала № 12</t>
  </si>
  <si>
    <t>для проведения встреч и заседаний первичной организации № 5 ОО «Ветераны войны, труда и вооруженных сил г. Тирасполь» по графику: каждый вторник</t>
  </si>
  <si>
    <t>Часть здания, состоящая из помещения подвала№ 35</t>
  </si>
  <si>
    <t>для  проведения заседаний первичных организаций № 4 и № 9 ОО «Ветераны войны, труда и вооруженных сил г. Тирасполя», которые будут проводиться один раз в месяц по графику: каждый вторник</t>
  </si>
  <si>
    <t>№ 2873 от 03.11.2021</t>
  </si>
  <si>
    <t>РОО "Союз десантников Приднестровья"</t>
  </si>
  <si>
    <t>г. Тирасполь,                                      ул. Юности, д. 8/4</t>
  </si>
  <si>
    <t xml:space="preserve">Часть здания, состоящая из полуподвальных помещений                 № 28 </t>
  </si>
  <si>
    <t>для размещения данной организации</t>
  </si>
  <si>
    <t>№ 3204 от 6.12.2021</t>
  </si>
  <si>
    <t>№ 33 от 28.10.2021</t>
  </si>
  <si>
    <t>Благотворительный фонд памяти заслуженных людей Приднестровья</t>
  </si>
  <si>
    <t>для размещения фонда согласно графика: суббота с 11:00 часов до 15:00 часов</t>
  </si>
  <si>
    <t>№ 3205 от 6.12.2021</t>
  </si>
  <si>
    <t xml:space="preserve">ГУ «Тираспольский клинический центр амбулаторно-поликлинической помощи» </t>
  </si>
  <si>
    <t>г. Тирасполь, ул.  Комсомольская, д. 1</t>
  </si>
  <si>
    <t>Часть здания, состоящая из помещений подвала №№ 20 – 28 (108,8 кв. м), помещений 1-го этажа №№ 64 – 70, 72 – 85 (200,4 кв.м)</t>
  </si>
  <si>
    <t>для размещения социальной аптеки № 305</t>
  </si>
  <si>
    <t>№ 3318</t>
  </si>
  <si>
    <t>№ 64 от 13.11.2021</t>
  </si>
  <si>
    <t>ОО «Союз Ветеранов Территориального Спасательного Отряда»</t>
  </si>
  <si>
    <t>г. Тирасполь,                             ул. Ларионова, д. 43</t>
  </si>
  <si>
    <t xml:space="preserve">Часть здания, состоящая из помещений подвала 1, 4, 5, 6, 7, 8, 9 </t>
  </si>
  <si>
    <t>для размещения администрации организации</t>
  </si>
  <si>
    <t>№ 3474 от 29.12.2021</t>
  </si>
  <si>
    <t>№ 64 от 23.11.2021</t>
  </si>
  <si>
    <t>УВД г. Тирасполь МВД ПМР</t>
  </si>
  <si>
    <t xml:space="preserve">г. Тирасполь,                       ул. Манойлова, д. 36
</t>
  </si>
  <si>
    <t xml:space="preserve">Часть здания литер А, состоящая из помещения машинного зала лифтовой № 4                                                                                                                                 </t>
  </si>
  <si>
    <t>для установки аппаратуры системы видеонаблюдения «Безопасный город» г. Тирасполь</t>
  </si>
  <si>
    <t>г. Тирасполь,                         ул. Крупской, д. 5</t>
  </si>
  <si>
    <t xml:space="preserve">Часть здания, состоящая из помещения крыши № 7 </t>
  </si>
  <si>
    <t>г. Тирасполь,                                  ул. Свердлова, д. 70</t>
  </si>
  <si>
    <t xml:space="preserve">Часть здания, состоящая из помещения крыши № 2 </t>
  </si>
  <si>
    <t>г. Тирасполь,                             пер. Набережный, д. 1</t>
  </si>
  <si>
    <t xml:space="preserve">Часть здания литер А 3, состоящая из  помещения крыши  № 17 </t>
  </si>
  <si>
    <t>г. Тирасполь,                                               ул. 25 Октября, д. 108</t>
  </si>
  <si>
    <t xml:space="preserve">Часть крыши, а также помещение, расположенное над машинным залом лифтового помещения № 1 </t>
  </si>
  <si>
    <t>ПК ЖЭК "Небоскрёб"</t>
  </si>
  <si>
    <t>№ 1271 от 18.05.2018</t>
  </si>
  <si>
    <t>ПК ЖЭК "Небоскреб"</t>
  </si>
  <si>
    <t>г. Тирасполь, ул. Одесская, д. 88/1</t>
  </si>
  <si>
    <t xml:space="preserve">Часть здания, состоящая из помещений 1-го этажа                  №№ 17, 19, 20 </t>
  </si>
  <si>
    <t>для размещения общественного пункта охраны правопорядка</t>
  </si>
  <si>
    <t>ПК ЖЭК "Гвардейский"</t>
  </si>
  <si>
    <t>№ 2025 от 2.08.2021</t>
  </si>
  <si>
    <t>№ 10 от 8.04.2021</t>
  </si>
  <si>
    <t>депутат ВС ПМР Антюфеева Галина Михайловна</t>
  </si>
  <si>
    <t>г. Тирасполь, ул. Гвардейская, д. 44</t>
  </si>
  <si>
    <t xml:space="preserve">Часть здания, состоящая из помещений 1-го этажа                           №№ 5, 6, 7 </t>
  </si>
  <si>
    <t>для размещения общественной приемной по избирательному округу № 25 "Западный"</t>
  </si>
  <si>
    <t>№ 1951 от 22.07.2021</t>
  </si>
  <si>
    <t>депутат ТГСНД Орлов Руслан Николаевич</t>
  </si>
  <si>
    <t xml:space="preserve">Часть здания, состоящая из помещений 1-го этажа                           №№ 16 </t>
  </si>
  <si>
    <t>для размещения общественной приемной депутата для приема граждан по графику: последний четверг месяца с 16:00 часов до 18:00 часов.</t>
  </si>
  <si>
    <t>№ 1476 от 8.06.2018</t>
  </si>
  <si>
    <t>Следственный комитет Приднестровской Молдавскойя Республики</t>
  </si>
  <si>
    <t>МУП "ПИ "Тирпроект"</t>
  </si>
  <si>
    <t>г. Тирасполь,                                             пер. 8 Марта, д. 3</t>
  </si>
  <si>
    <t>Часть здания, состоящая из помещений 1-го, 4-го, 5-го этажей</t>
  </si>
  <si>
    <t>№ 2015 от 7.08.2019, внес. изм.  № 1765 от 31.07.2020</t>
  </si>
  <si>
    <t>г. Тирасполь,                                            пер. 8 Марта, д. 3</t>
  </si>
  <si>
    <t>Часть здания, состоящая из помещений подвала №№ 1-17, 19-23, 25-34, 38-43</t>
  </si>
  <si>
    <t>для размещения дежурной части Главного управления по чрезвычайным ситуациям Министерства внутренних дел Приднестровской Молдавской Республики</t>
  </si>
  <si>
    <t>МУП "УКС"</t>
  </si>
  <si>
    <t>г. Тирасполь,                                                пер. 8 Марта, д. 3</t>
  </si>
  <si>
    <t>Часть здания, состоящая из помещений 2-го этажа</t>
  </si>
  <si>
    <t xml:space="preserve">для размещения служебных помещений </t>
  </si>
  <si>
    <t>№ 51 от 13.01.2020</t>
  </si>
  <si>
    <t>Часть здания, состоящая из помещений 3-го этажа</t>
  </si>
  <si>
    <t>№ 2239 от 20.08.2021</t>
  </si>
  <si>
    <t>№ 2 от 02.04.2020, президиум № 5/2 от 30.03.2020</t>
  </si>
  <si>
    <t>Часть здания, состоящая из помещений подвала № 18</t>
  </si>
  <si>
    <t>для размещения архива вещественных доказательств</t>
  </si>
  <si>
    <t>№ 3212 от 6.12.3212</t>
  </si>
  <si>
    <t>Каменный гараж № 1 (21,7 кв.м) и металлический гараж (21 кв.м)</t>
  </si>
  <si>
    <t>для хранения транспортных средств</t>
  </si>
  <si>
    <t>№ 3378 от 20.12.2021</t>
  </si>
  <si>
    <t>г. Тирасполь,                                          пер. 8 Марта, д. 3</t>
  </si>
  <si>
    <t>Часть здания, состоящая из помещений 6-го этажа (533,3 кв. м) и помещения подвала № 35 – 37 (63 кв. м)</t>
  </si>
  <si>
    <t>МУ "Управление народного образования г. Тирасполь"</t>
  </si>
  <si>
    <t>№ 3268 от 4.12.2018</t>
  </si>
  <si>
    <t>Президиум                    № 16/1 от 28.11.2018</t>
  </si>
  <si>
    <t xml:space="preserve">Государственная служба судебных исполнителей Министерства юстиции Приднестровской Молдавской Республики </t>
  </si>
  <si>
    <t>МУ "УНО                           г. Тирасполь"</t>
  </si>
  <si>
    <t>г. Тирасполь,                                                      ул. 25 Октября, д. 136</t>
  </si>
  <si>
    <t>Здание, состоящая из помещений 1 и 2 этажа, а так же помещения подвала</t>
  </si>
  <si>
    <t>28.04.2021   (29.04.2020)</t>
  </si>
  <si>
    <t>№ 1029 от 28.04.2021</t>
  </si>
  <si>
    <t>№ 10                                          от 8.04.2021</t>
  </si>
  <si>
    <t>МУ "УК г. Тирасполь"</t>
  </si>
  <si>
    <t>МУ "УНО                              г. Тирасполь"</t>
  </si>
  <si>
    <t>г. Тирасполь,                                               ул. К. Либкнехта, д. 98а</t>
  </si>
  <si>
    <t xml:space="preserve">Часть здания, состоящая из помещений второго этажа №№ 1-36 </t>
  </si>
  <si>
    <t xml:space="preserve"> для размещения МУ «ЦДМ «Юбилейный»</t>
  </si>
  <si>
    <t>28.04.2021   (02.04.2021)</t>
  </si>
  <si>
    <t>№ 1044 от 28.04.2021</t>
  </si>
  <si>
    <t>МУ "УФКС г. Тирасполя"</t>
  </si>
  <si>
    <t>МУ "УНО                                     г. Тирасполь"</t>
  </si>
  <si>
    <t>г. Тирасполь,                                                ул. К.Либкнехта, д. 98а</t>
  </si>
  <si>
    <t>Часть здания, состоящая из помещений 1-го этажа №№ 27 -31, 33, 35, 36</t>
  </si>
  <si>
    <t>для проведения занятий МОУ ДО «СДЮШОР № 1», согласно ежегодному графику учебно-тренировочных занятий</t>
  </si>
  <si>
    <t>№ 3211 от 6.12.2021</t>
  </si>
  <si>
    <t>МУ "УНО                                          г. Тирасполь"</t>
  </si>
  <si>
    <t>г. Тирасполь,                                    ул. 25 Октября, д. 47</t>
  </si>
  <si>
    <t xml:space="preserve">Часть здания, состоящая из помещения 3-го этажа №№ 20, 23 (каб. 301) </t>
  </si>
  <si>
    <t>для размещения аппаратуры звукофикации</t>
  </si>
  <si>
    <t>№ 14 от 9.01.2019</t>
  </si>
  <si>
    <t>Президиум № 18/2 от 17.12.2018</t>
  </si>
  <si>
    <t>г. Тирасполь,                                ул. Калинена, д. 17</t>
  </si>
  <si>
    <t>Часть здания, состоящая из помещения холла № 30/1 МОУ «ТСШ № 8»</t>
  </si>
  <si>
    <t>для проведения встреч с ветеранами и заседаний первичной организации № 6 общественной организации по согласованному графику: вторник, пятница с 15:00 ч. до 17:00 ч.</t>
  </si>
  <si>
    <t>17.01.2020 (03.01.2020)</t>
  </si>
  <si>
    <t>№ 97 от 17.01.2020</t>
  </si>
  <si>
    <t>Президиум                     № 19/1 от 12.12.2019</t>
  </si>
  <si>
    <t>ГОУДПП "Институт развития и повышения квалификации"</t>
  </si>
  <si>
    <t>г. Тирасполь,                                          ул. Каховская, д. 17</t>
  </si>
  <si>
    <t>Часть гаража с транспортной пристройкой</t>
  </si>
  <si>
    <t>для размещения служебных автомобилей</t>
  </si>
  <si>
    <t>№ 3310 от 16.12.2021</t>
  </si>
  <si>
    <t>НП "Базовый центр реабилитации и консультирования "ОСОРЦ"</t>
  </si>
  <si>
    <t>МУ "УНО                                г. Тирасполь"</t>
  </si>
  <si>
    <t>г. Тирасполь,                                       ул. К. Либкнехта, д. 144А</t>
  </si>
  <si>
    <t>Часть здания литер Л</t>
  </si>
  <si>
    <t>для размещения и функционирования реабилитационного центра</t>
  </si>
  <si>
    <t>№ 1894 от 11.08.2020</t>
  </si>
  <si>
    <t>№ 2 от 6.02.2020, президиум № 2/2 от 2.02.2020</t>
  </si>
  <si>
    <t>МУП "ТКДП "Школьник"</t>
  </si>
  <si>
    <t>Помещения муниципальных общеобразовательных учреждений г. Тирасполь и с. Кременчуг, а также холодильное и технологическое оборудование, установленное в этих помещениях</t>
  </si>
  <si>
    <t xml:space="preserve"> под пищеблоки, столовые и буфеты</t>
  </si>
  <si>
    <t>№ 707 от 26.03.2021</t>
  </si>
  <si>
    <t>Депутат ТГСНД Дурбала Наталья Кирилловна</t>
  </si>
  <si>
    <t>г. Тирасполь,                                       ул. Юности, д. 38</t>
  </si>
  <si>
    <t xml:space="preserve">Часть здания МОУ «ТСШ № 12», состоящая из помещений 1-го этажа №№ 40, 42 </t>
  </si>
  <si>
    <t>для приема граждан по избирательному округу № 37 по графику: первый и третий четверг месяца с 16:30 часов до 18:30 часов.</t>
  </si>
  <si>
    <t>№ 790 от 6.04.2021</t>
  </si>
  <si>
    <t>Депутат ТГСНД Стажилов Александр Петрович</t>
  </si>
  <si>
    <t>г. Тирасполь,                                       ул. Краснодонская, д. 62</t>
  </si>
  <si>
    <t xml:space="preserve">Часть здания МОУ «ТСШ № 5», состоящая из помещения 1-го этажа № 13 </t>
  </si>
  <si>
    <t>для приема граждан по избирательному округу № 35 по графику: вторая и четвертая пятница с 17:00 часов</t>
  </si>
  <si>
    <t>№ 768 от 1.04.2021</t>
  </si>
  <si>
    <t xml:space="preserve">Депутат ТГСНД Крижановский Игорь Николаевич </t>
  </si>
  <si>
    <t>г. Тирасполь,                                       ул. К. Либкнехта, д. 185</t>
  </si>
  <si>
    <t xml:space="preserve">Часть здания МОУ «ТСШ № 11», состоящая из 1/3 части помещения 1-го этажа № 19 </t>
  </si>
  <si>
    <t>для размещения избирательного округа для приема граждан по графику: первый и третий четверг месяца с 17:30 часов до 19:00 часов</t>
  </si>
  <si>
    <t>№ 1349                  от 26.05.2021</t>
  </si>
  <si>
    <t xml:space="preserve">Депутат ТГСНД Ганенко Иван Петрович </t>
  </si>
  <si>
    <t>для размещения избирательного округа для приема граждан по графику: первый и третий четверг месяца с 17:00 часов до 19:00 часов</t>
  </si>
  <si>
    <t>№ 1348                  от 26.05.2021</t>
  </si>
  <si>
    <t xml:space="preserve">Депутат ТГСНД Солодкий Павел Георгиевич </t>
  </si>
  <si>
    <t>г. Тирасполь,                                       ул.Комсомольская, д. 4/3</t>
  </si>
  <si>
    <t xml:space="preserve">Часть здания, состоящая из помещения 1-го этажа № 40 МОУ «ТСШ № 18» </t>
  </si>
  <si>
    <t>для размещения общественной приемной депутата для приема граждан по графику: каждый вторник                                 с 17:00 часов до 18:00 часов.</t>
  </si>
  <si>
    <t>№ 1347                  от 26.05.2021</t>
  </si>
  <si>
    <t xml:space="preserve">Депутат ТГСНД Чавдарь Георгй Филиппович </t>
  </si>
  <si>
    <t xml:space="preserve">Часть здания МОУ «ТСШ № 5», состоящая из помещения 1-го этажа № 13 » </t>
  </si>
  <si>
    <t>для размещения общественной приемной депутата для приема граждан по графику: первый понедельник месяца с 18:00 часов.</t>
  </si>
  <si>
    <t>№ 1346                  от 26.05.2021</t>
  </si>
  <si>
    <t xml:space="preserve">Депутат ТГСНД Беликов Игорь Иванович </t>
  </si>
  <si>
    <t>г. Тирасполь,                                       ул. Федько, д. 5</t>
  </si>
  <si>
    <t xml:space="preserve">Часть здания МОУ «ТСШ № 17», состоящая из 1/2 части помещения 1-го этажа № 7 </t>
  </si>
  <si>
    <t>для размещения общественной приемной депутата для приема граждан по графику: еженедельно по четвергам с 18:00 часов до 19:00 часов.</t>
  </si>
  <si>
    <t>№ 1345                  от 26.05.2021</t>
  </si>
  <si>
    <t xml:space="preserve">Депутат ТГСНД Большаков Андрей Александрович  </t>
  </si>
  <si>
    <t>№ 1332                  от 26.05.2021</t>
  </si>
  <si>
    <t>Депутат ТГСНД Попов Владимир Николаевич</t>
  </si>
  <si>
    <t>для размещения общественной приемной депутата для приема граждан по графику: первое и третье воскресенье месяца с 10:00 часов до 11:00 часов.</t>
  </si>
  <si>
    <t>№ 1660                  от 25.06.2022</t>
  </si>
  <si>
    <t>Депутат ТГСНД Китикарь Оксана Васильевна</t>
  </si>
  <si>
    <t>г. Тирасполь,                                       ул. К. Маркса, д. 180</t>
  </si>
  <si>
    <t>Часть здания, состоящая из помещения 1-го этажа № 19 МОУ «ТСШ № 3 им. А.П. Чехова»</t>
  </si>
  <si>
    <t>для размещения общественной приемной депутата для приема граждан по графику: первая и третья среда месяца с 17:00 часов до 19:00 часов.</t>
  </si>
  <si>
    <t>№ 1819 от 12.07.2021</t>
  </si>
  <si>
    <t>№ 2 от 4.02.2021</t>
  </si>
  <si>
    <t>Депутат ТГСНД Кудлаенко Александр Владимирович</t>
  </si>
  <si>
    <t>г. Тирасполь,                                       ул. Каховская, д. 17</t>
  </si>
  <si>
    <t xml:space="preserve">Часть здания корпуса Б МОУ С(К)ОШ-И (спальный корпус), состоящая из помещений 1-го этажа №№ 2, 3 </t>
  </si>
  <si>
    <t>для размещения общественной приемной депутата для приема граждан по графику: первая и четвертая суббота месяца с 13:00 часов до 15:00 часов</t>
  </si>
  <si>
    <t>№ 1938 от 22.07.2021</t>
  </si>
  <si>
    <t>№ 2 от 11.02.2021</t>
  </si>
  <si>
    <t>Депутат ВС ПМР Буга Игорь Семенович</t>
  </si>
  <si>
    <t>для приема граждан по избирательному округу № 29 «Одесский»                  по графику: первая и третья пятница каждого месяца</t>
  </si>
  <si>
    <t>№ 2223 от 18.08.2021</t>
  </si>
  <si>
    <t>Часть здания МОУ "ТСШ № 12", состоящая из помещений № 14, 26</t>
  </si>
  <si>
    <t>для проведения занятий дейской команды по баскетнолк (понедельник - пятница с 16:00 до 17:30)</t>
  </si>
  <si>
    <t>№ 3361 от 17.12.2021</t>
  </si>
  <si>
    <t>Спортивные залы и помещения учреждений общего и средне-специального образования города Тирасполя</t>
  </si>
  <si>
    <t>для проведения учебно-тренировочных занятий по различным видам спорта с учащимися МОУ ДО спортивной направленности г. Тирасполь</t>
  </si>
  <si>
    <t>№ 3363 от 17.12.2021</t>
  </si>
  <si>
    <t>г. Тирасполь,                                                ул. К.Либкнехта, д. 98А</t>
  </si>
  <si>
    <t>Часть здания, состоящая из помещений цокольного этажа №№ 4, 9, 10, 12, 40-42, 44-52</t>
  </si>
  <si>
    <t>для размещения спортивных залов МОУ  ДО "СДЮШОР № 3"</t>
  </si>
  <si>
    <t>МУ "Управление культуры  г. Тирасполь"</t>
  </si>
  <si>
    <t>№ 1857 от 14.07.2021</t>
  </si>
  <si>
    <t>МУП "Тираспольский комбинат детского питания "Школьник"</t>
  </si>
  <si>
    <t>МУ "Управление культуры                            г. Тирасполь"</t>
  </si>
  <si>
    <t>г. Тирасполь,                                          ул. Р. Люксембург,                                              д. 69</t>
  </si>
  <si>
    <t xml:space="preserve">Часть здания, состоящая из помещения коридора 1-го этажа № № 23, 24, 25 </t>
  </si>
  <si>
    <t xml:space="preserve">для организации работы выездного буфета </t>
  </si>
  <si>
    <t>22.22.2026</t>
  </si>
  <si>
    <t>№ 3472 от 28.12.2021</t>
  </si>
  <si>
    <t>ОО «Центр научно-технического творчества молодежи «Синергия развития»</t>
  </si>
  <si>
    <t>МУ "УК                                          г. Тирасполь"</t>
  </si>
  <si>
    <t>г. Тирасполь,                                         ул. Свердлова, д. 78</t>
  </si>
  <si>
    <t xml:space="preserve">Часть здания, состоящая из помещения цокольного этажа № 26 </t>
  </si>
  <si>
    <t>для проведения кружков технического творчества</t>
  </si>
  <si>
    <t>№ 2533 от 3.10.2019</t>
  </si>
  <si>
    <t>Президиум                     № 14/5 от 9.09.2019</t>
  </si>
  <si>
    <t>ОО «Союз писателей Приднестровья»</t>
  </si>
  <si>
    <t>г. Тирасполь,                                         ул. Свердлова, д. 79</t>
  </si>
  <si>
    <t>Часть здания, состоящая из помещения 2-го этажа                             № 12</t>
  </si>
  <si>
    <t>для размещения офиса писателей Приднестровьяпо графику (3 дня в неделю) согласованному с руководством                   МУ «Управление культуры г. Тирасполь»</t>
  </si>
  <si>
    <t>№ 1331                  от 26.05.2021</t>
  </si>
  <si>
    <t xml:space="preserve">Депутат ТГСНД                        Дони Вадим Михайлович </t>
  </si>
  <si>
    <t>г. Тирасполь,                                       ул. 25 Октября, д. 51</t>
  </si>
  <si>
    <t xml:space="preserve">Часть здания МУ «Городской Дворец культуры», состоящая из помещения 1-го этажа № 15 </t>
  </si>
  <si>
    <t>для приема граждан по избирательному округу № 14 по графику: первая и третья пятница месяца                            с 15:00 часов до 17:00 часов.</t>
  </si>
  <si>
    <t>МУ "Управление по физической культуре и спорту г. Тирасполь"</t>
  </si>
  <si>
    <t>№ 1183 от 08.05.2018</t>
  </si>
  <si>
    <t>Государственная служба по спорту ПМР</t>
  </si>
  <si>
    <t>МУ "УФКС                            г. Тирасполь"</t>
  </si>
  <si>
    <t xml:space="preserve"> г. Тирасполь,                                   ул. Мира, д. 21 А</t>
  </si>
  <si>
    <t xml:space="preserve">Часть здания, состоящая из помещений 2-го этажа №№ 6 - 8, 8а, 9 – 14, 19 </t>
  </si>
  <si>
    <t>для размещение служебных помещений</t>
  </si>
  <si>
    <t>№ 1501 от 12.06.2018</t>
  </si>
  <si>
    <t>РОО "Федерация футбола Приднестровья"</t>
  </si>
  <si>
    <t>г. Тирасполь,                                                           ул. Мира, д. 21А</t>
  </si>
  <si>
    <t xml:space="preserve">Часть здания, состоящая из помещений 3-го этажа № № 16-22 </t>
  </si>
  <si>
    <t>для размещения офиса Федерации</t>
  </si>
  <si>
    <t>№ 1939 от 20.07.2018</t>
  </si>
  <si>
    <t xml:space="preserve">№ 46 от 28.12.2017, внес. изм.                                  № 42 от 29.03.2018 </t>
  </si>
  <si>
    <t>г. Тирасполь,                                      ул. 25 Октября, д. 36В</t>
  </si>
  <si>
    <t xml:space="preserve">Часть здания, состоящая из помещения цокольного этажа (бокса) №  8 (48 кв.м), и помещений 2-го этажа №№  35, 36 (55,89 кв.м) </t>
  </si>
  <si>
    <t>для размещения Государственной инспекции речного транспорта  УАСС ГУпЧС МВД ПМР</t>
  </si>
  <si>
    <t>№ 1964 от 24.07.2018</t>
  </si>
  <si>
    <t>№ 9 от 19.07.2018</t>
  </si>
  <si>
    <t>Оперативная группа Российских войск в Приднестровском регионе</t>
  </si>
  <si>
    <t>Кицканский лес</t>
  </si>
  <si>
    <t>Часть спортивно-оздоровительного лагеря «Спартак», состоящий из литер Д, Д1 – столовая, общей площадью 333,4 кв.м;   литер Ж – жилой домик, общей площадью 454,6 кв.м; литер II – часть забора; литер IV – ворота; литер V – ворота; литер VII – навес; литер VIII – сцена; литер XIII – навес; литер 85 – туалет;       литер 86 – умывальник; литеры 87, 88, 89, 90, 91, 92, 93 – домики; литер 94 – погреб</t>
  </si>
  <si>
    <t>для размещения детского лагеря ОГРВ</t>
  </si>
  <si>
    <t>№ 3162 от 5.12.2019</t>
  </si>
  <si>
    <t>№ 8 от 6.11.2020</t>
  </si>
  <si>
    <t>РОО «Федерация по гребле на байдарках и каноэ Приднестровья»</t>
  </si>
  <si>
    <t>г. Тирасполь,                                                           ул. 95 Молдавской дивизии, д. 2 Б</t>
  </si>
  <si>
    <t xml:space="preserve">Часть здания, состоящая из помещений 2-го этажа №№ 1, 10 – 15 и помещений 3-го этажа №№ 10 - 16 </t>
  </si>
  <si>
    <t xml:space="preserve">для проведения спортивных мероприятий и подготовки спортсменов к республиканским и международным соревнованиям </t>
  </si>
  <si>
    <t>16.03.2021               (16.12.2020)</t>
  </si>
  <si>
    <t>№ 628 от 16.03.2021</t>
  </si>
  <si>
    <t>МУП "САХ г. Тирасполь"</t>
  </si>
  <si>
    <t>г. Тирасполь,                                                           ул. 25 Октября, д. 36В</t>
  </si>
  <si>
    <t xml:space="preserve">Часть здания литер 2 </t>
  </si>
  <si>
    <t>для размещения инвентаря дворников участка № 13</t>
  </si>
  <si>
    <t>№ 2027 от 2.08.2021</t>
  </si>
  <si>
    <t>ГОУ СПО "Училище олимпийского резерва"</t>
  </si>
  <si>
    <t>г. Тирасполь, ул. 95 Молдавской дивизии, д. 2Б</t>
  </si>
  <si>
    <t>Часть помещения эллинга № 10 МОУ ДО «СДЮШОР гребли и стрельбы г. Тирасполь»</t>
  </si>
  <si>
    <t>для размещения и хранения спортивных лодок для организации и проведения учебно-тренировочного процесса на реке Днестр воспитанников ГОУ СПО «УОР»</t>
  </si>
  <si>
    <t>№ 3469 от 28.12.2021</t>
  </si>
  <si>
    <t>Следственный комитет ПМР</t>
  </si>
  <si>
    <t>г. Тирасполь,                                                           ул. Федько, д. 9А</t>
  </si>
  <si>
    <t xml:space="preserve">Часть здания, состоящая  из помещений спортивного зала МОУ ДО «СДЮШОР № 1» </t>
  </si>
  <si>
    <t>для проведения тренировок по футболу по согласованному графику: среда с 08:00 часов до 09:30 часов</t>
  </si>
  <si>
    <t>№ 3473 от 29.12.2021</t>
  </si>
  <si>
    <t>МУ "УФКС                       г. Тирасполь"</t>
  </si>
  <si>
    <t>г. Тирасполь,                    ул. Циолковского, д. 22</t>
  </si>
  <si>
    <t>Часть здания, состоящая из помещения первого этажа № 11</t>
  </si>
  <si>
    <t>для размещения  индивидуальной котельной МОУ ДО "СДЮШОР № 3"</t>
  </si>
  <si>
    <t>Государственная администрация г. Тирасполь и г. Днестровск</t>
  </si>
  <si>
    <t>21.07.2020 (17.05.2020)</t>
  </si>
  <si>
    <t>№ 1580 от 21.07.2020</t>
  </si>
  <si>
    <t xml:space="preserve">Президиум               № 15/1 от 22.06.2020 </t>
  </si>
  <si>
    <t>ОО "Ассоциация жертв политических репрессий"</t>
  </si>
  <si>
    <t>ГА</t>
  </si>
  <si>
    <t>г. Тирасполь,                                           ул. 25 Октября, д. 114</t>
  </si>
  <si>
    <t xml:space="preserve">часть здания лит. В, состоящая из помещений №№ 6, 8 </t>
  </si>
  <si>
    <t>для размещения офиса.</t>
  </si>
  <si>
    <t>21.07.2020 (13.05.2020</t>
  </si>
  <si>
    <t>№ 1584 от 21.07.2020</t>
  </si>
  <si>
    <t>ОО «Общество бывших узников фашизма»</t>
  </si>
  <si>
    <t>г. Тирасполь,                                  ул. 25 Октября, д. 114</t>
  </si>
  <si>
    <t xml:space="preserve">Часть здания лит. В, состоящая из помещений №№ 4, 7 </t>
  </si>
  <si>
    <t xml:space="preserve"> для размещения офиса.</t>
  </si>
  <si>
    <t xml:space="preserve">№ 1581 от 21.07.2020 </t>
  </si>
  <si>
    <t>Общество украинской культуры «Червона калина"</t>
  </si>
  <si>
    <t>г. Тирасполь,                                            ул. 25 Октября, д. 114</t>
  </si>
  <si>
    <t xml:space="preserve">Часть здания, состоящая из помещения № 16 </t>
  </si>
  <si>
    <t>для размещения офиса председателя Тираспольского городского Правления Общества украинской культуры «Червона  калина».</t>
  </si>
  <si>
    <t>№ 1971 от 01.08.2017</t>
  </si>
  <si>
    <t>№ 7 от 20.07.2017</t>
  </si>
  <si>
    <t>Сопредседателю ОКК</t>
  </si>
  <si>
    <t xml:space="preserve">часть здания, состоящая из помещения 2-го этажа № 11 </t>
  </si>
  <si>
    <t>под офис для сопредседателя Объединенной Контрольной Комиссии от ПМР</t>
  </si>
  <si>
    <t>№ 1972 от 01.08.2017, внес. изм.               № 3373 от 13.12.2017</t>
  </si>
  <si>
    <t>№ 7 от 20.07.2017, внесение измен. № 30 от 23.11.2017</t>
  </si>
  <si>
    <t xml:space="preserve">Уполномоченный по правам человека в Приднестровской Молдавской Республике </t>
  </si>
  <si>
    <t>г. Тирасполь,                                             ул. 25 Октября, д. 114</t>
  </si>
  <si>
    <t>Часть здания литер А, состоящая из помещений второго этажа №№ 1, 2, 4, 5, 6, 7, 12 - 15</t>
  </si>
  <si>
    <t xml:space="preserve">для размещения служебных кабинетов </t>
  </si>
  <si>
    <t>№ 2598 от 06.10.2017</t>
  </si>
  <si>
    <t>№ 23 от 14.09.2017 г.</t>
  </si>
  <si>
    <t>Единому государственному фонду социального страхования Приднестровская Молдавская Республика</t>
  </si>
  <si>
    <t>г. Тирасполь,                                               ул. 25 Октября, д. 114</t>
  </si>
  <si>
    <t>Часть здания, состоящая из помещений 1-го этажа (773,1 кв.м), помещений второго этажа №№ 23-26, 28-44 (379,9 кв.м), помещений третьего этажа №№ 36, 37, 40, 41 (93,4 кв.м)</t>
  </si>
  <si>
    <t xml:space="preserve">для размещения служебных кабинетов Тираспольского центра социального страхования. </t>
  </si>
  <si>
    <t>№ 1234 от 16.05.2018</t>
  </si>
  <si>
    <t>г. Тирасполь,                                                  ул. 25 Октября, д. 114</t>
  </si>
  <si>
    <t>Часть здания, состоящая из помещений подвала №№ 3-5, 14, 15</t>
  </si>
  <si>
    <t>22.07.2020 (06.06.2020)</t>
  </si>
  <si>
    <t>№ 1597 от 22.07.2020</t>
  </si>
  <si>
    <t>№ 2 от 2.07.2020, президиум               № 15/1 от 22.06.2020</t>
  </si>
  <si>
    <t>Министерство финансов ПМР</t>
  </si>
  <si>
    <t>г. Тирасполь,                                              ул. 25 Октября, д. 101</t>
  </si>
  <si>
    <t xml:space="preserve">Часть здания, состоящая из помещений 1-го этажа № 102 - 110, 110а, 111, 113 - 124 (общей площадью 352,4 кв. м); помещений 2-го этажа №№ 218 – 220, 222 - 228 (общей площадью 166 кв. м); помещений 4-го этажа №№ 429 - 431, 434 - 439, 439а, 445, 450 - 453 (общей площадью 235,7 кв. м); помещений подвала №№ 1-3, 10, 14, 28, 31, 32, 41, 43 (общей площадью 83,9 кв. м); металлического гаража № 2 (общей площадью 21,74 кв. м), капитального гаража № 10 (общей площадью 31,9 кв. м) </t>
  </si>
  <si>
    <t>для размещения Налоговой инспекции по г. Тирасполь и архивов Министерства финансов Приднестровской Молдавской Республики</t>
  </si>
  <si>
    <t>№ 1508 от 13.07.2020</t>
  </si>
  <si>
    <t>Фонд государственного резерва ПМР</t>
  </si>
  <si>
    <t>г. Тирасполь,                                                 ул. 25 Октября, д. 101</t>
  </si>
  <si>
    <t>Часть здания, состоящая из помещений 2-го этажа №№ 12, 14, 58, 59 (каб. 233, 234, 245, 246)</t>
  </si>
  <si>
    <t>№ 2745 от 15.10.2021</t>
  </si>
  <si>
    <t>г. Тирасполь,                                                      ул. 25 Октября, д. 101</t>
  </si>
  <si>
    <t>Часть здания, состоящая из помещений 2-го этажа №№ 229, 230, 231, 232</t>
  </si>
  <si>
    <t>№ 2872 от 3.11.2021</t>
  </si>
  <si>
    <t>ОО "Ветераны войны, труда и ВС                                   г. Тирасполь"</t>
  </si>
  <si>
    <t>г. Тирасполь,                                                 ул. 25 Октября, д. 114</t>
  </si>
  <si>
    <t>Часть здания, состоящая из помещений 2-го этажа №№ 21, 22 и подвала № 6</t>
  </si>
  <si>
    <t>служебные помещения</t>
  </si>
  <si>
    <t>№ 1133 от 11.05.2017</t>
  </si>
  <si>
    <t>г. Тирасполь,                                                    ул. 25 Октября, д. 114</t>
  </si>
  <si>
    <t>Часть здания, состоящая из помещений 3-го этажа №№ 1 - 6, 19 - 21, 23 - 26</t>
  </si>
  <si>
    <t>№ 1779 от 07.07.2021</t>
  </si>
  <si>
    <t>г. Тирасполь,                                                    ул. 25 Октября, д. 101</t>
  </si>
  <si>
    <t xml:space="preserve">часть здания, состоящая из помещения 1-го этажа № 31 (каб. 125) </t>
  </si>
  <si>
    <t>для организации буфета</t>
  </si>
  <si>
    <t>№ 283 от 31.01.2018</t>
  </si>
  <si>
    <t>г. Тирасполь,                                   ул. 25 Октября, д. 114</t>
  </si>
  <si>
    <t xml:space="preserve">Капитальный гараж № 5 </t>
  </si>
  <si>
    <t>№ 1382 от 28.05.2018</t>
  </si>
  <si>
    <t>№ 46 от 28.12.2017, внесение изм. № 42 от 29.03.2018</t>
  </si>
  <si>
    <t xml:space="preserve">Часть здания, состоящая из помещения  4-го этажа № 45 (каб. № 424) </t>
  </si>
  <si>
    <t>для размещения отдела по делам гражданской обороны и чрезвычайных ситуаций г. Тирасполь УГЗ ГУпЧС МВД ПМР</t>
  </si>
  <si>
    <t>№ 2025 от 30.07.2018</t>
  </si>
  <si>
    <t>№ 15 от 19.07.2018</t>
  </si>
  <si>
    <t>г. Тирасполь,                                         ул. 25 Октября, д. 101</t>
  </si>
  <si>
    <t xml:space="preserve">Металлический гараж № 3 , капитальный гараж № 14  </t>
  </si>
  <si>
    <t>№ 3339 от 10.12.2018</t>
  </si>
  <si>
    <t>ОО «Патриотическое мотоциклетное движение «Ночные волки»</t>
  </si>
  <si>
    <t>г. Тирасполь,                                ул. Лермонтова, д. 5</t>
  </si>
  <si>
    <t>Комплекс строений, состоящая из Административного корпуса литер А (с пристройкой А1) – 485,2 кв.м, Мастерских литер В – 81,1 кв.м с пристройкой литер в, Столярной мастерской литер Д – 246,7 кв.м, Столовой литер Е – 238,6 кв.м, Складом литер Ж – 291,4 кв.м, Мастерской литер З – 61,3 кв.м, Склада литер И – 139,7 кв.м (с двумя сараями литер 1, 10, пятью гаражами литеры 4, 6, 8, 9, 12, бойлерной литер 5, зданием вахты литер 7)</t>
  </si>
  <si>
    <t>для размещения общественной организации</t>
  </si>
  <si>
    <t>№ 399 от 19.02.2019</t>
  </si>
  <si>
    <t>ОО "Союз художников Приднестровья"</t>
  </si>
  <si>
    <t>г. Тирасполь,                                  ул. Лермонтова, д. 5</t>
  </si>
  <si>
    <t>Комплекс строений, состоящий из административного корпуса литер Б, склада литер Г и прилегающей к ним территорией</t>
  </si>
  <si>
    <t>для размещения творческих мастерских</t>
  </si>
  <si>
    <t>№ 2125 от 15.08.2019</t>
  </si>
  <si>
    <t>Министерство обороны ПМР</t>
  </si>
  <si>
    <t>Часть здания,  состоящая из помещений 4-го этажа №№ 31 - 33 (каб. 412 -  414)</t>
  </si>
  <si>
    <t>для размещения Управления Народного ополчения</t>
  </si>
  <si>
    <t>6.03.2020                             (с 01.01.2020)</t>
  </si>
  <si>
    <t>№ 660 от 6.03.2020</t>
  </si>
  <si>
    <t>МУП "Медиацентр "Тирасполь"</t>
  </si>
  <si>
    <t>г.Тирасполь,                                                   ул. 25 Октября, д. 101</t>
  </si>
  <si>
    <t>Часть здания, состоящая из помещений вторго этажа  №№ 1, 3-10, 70 (каб. 236-244), капитальный гараж № 9</t>
  </si>
  <si>
    <t>под служебные кабинеты</t>
  </si>
  <si>
    <t>11.03.2020                        (с 01.01.2019)</t>
  </si>
  <si>
    <t>№ 683 от 11.03.2020</t>
  </si>
  <si>
    <t>ОО "Объединенный совет трудовых коллективов г. Тирасполя"</t>
  </si>
  <si>
    <t xml:space="preserve"> г. Тирасполь,                                    ул. 25 Октября, д.  101</t>
  </si>
  <si>
    <t>Часть здания, состоящая из помещения 2-го этажа № 40 (каб. 215)</t>
  </si>
  <si>
    <t>для размещения общнственной приемной</t>
  </si>
  <si>
    <t>11.03.2020                        (с 02.01.2020)</t>
  </si>
  <si>
    <t>№ 835 от 31.03.2020</t>
  </si>
  <si>
    <t>Президеум                     № 2/1 от 3.02.2021</t>
  </si>
  <si>
    <t xml:space="preserve">РОО "Ветераны войны, труда и вооруженных сил Приднестровья" </t>
  </si>
  <si>
    <t>Часть здания, состоящих из помещений 2-го этажа №№ 45, 46</t>
  </si>
  <si>
    <t>для размещения общественной приемной</t>
  </si>
  <si>
    <t>21.12.2020         (27.01.2020)</t>
  </si>
  <si>
    <t>№ 3429 от 21.12.2020</t>
  </si>
  <si>
    <t>№ 9 от 19.11.2020</t>
  </si>
  <si>
    <t>Единный государственный фонд соц.страхования</t>
  </si>
  <si>
    <t>г. Тирасполь,                                      ул. 25 Октября, д. 101</t>
  </si>
  <si>
    <t>Часть здания, состоящая из помещений №№ 5, 15, 16</t>
  </si>
  <si>
    <t>для размещения архива Центра социального страхования и социальной защиты  г. Тирасполь</t>
  </si>
  <si>
    <t>№ 684  от 24.03.2021</t>
  </si>
  <si>
    <t>Часть здания,  состоящая из помещения 4-го этажа № 30 (каб. 411)</t>
  </si>
  <si>
    <t xml:space="preserve"> 16.06.2021</t>
  </si>
  <si>
    <t>№ 1722 от 29.06.2021</t>
  </si>
  <si>
    <t>МУ «Управление городского хозяйства Тирасполя»</t>
  </si>
  <si>
    <t xml:space="preserve"> г. Тирасполь,                        ул. 25 Октября, д. 101</t>
  </si>
  <si>
    <t xml:space="preserve">Часть здания, состоящая из кабинетов 4-го этажа №№ 419 – 423, 425-428, 432, 440, 441, 443, 444, 448, 449 (283,6 кв.м),  и каменного гаража № 12 (30,2 кв.м)   </t>
  </si>
  <si>
    <t>№ 3362 от 17.12.2021</t>
  </si>
  <si>
    <t>Судебный департамент при Верховном Суде ПМР</t>
  </si>
  <si>
    <t>г. Тирасполь,                                                  ул. 25 Октября, д. 101</t>
  </si>
  <si>
    <t>Часть здания, состоящая из помещений 4-го этажа №№ 10, 39, 18-23, 25, 70 (каб. 401, 402, 403, 404, 405, 406, 407, 418, 447) (131,1 кв. м), и металлический гараж № 4 (21,74 кв. м)</t>
  </si>
  <si>
    <t>Органы государственной власть</t>
  </si>
  <si>
    <t>Государственная администрация города Тирасполь и города Днестровск</t>
  </si>
  <si>
    <t>МУП "ЖЭУК                                               г.  Тирасполь",                     г. Тирасполь,                         ул. 1 Мая, д. 116</t>
  </si>
  <si>
    <t>доп. соглашение об увеличении площади</t>
  </si>
  <si>
    <t>УВД                                          г. Тирасполь</t>
  </si>
  <si>
    <t>Часть крыши, а также помещение, расположенное над машинным залом лифтового помещения № 1 ,                                                       г. Тирасполь, ул. 25 Октября, д. 108</t>
  </si>
  <si>
    <t>Капитальной гараж № 4,                                                    г. Тирасполь, ул. 25 Октября, д. 114</t>
  </si>
  <si>
    <t>Часть здания, состоящая из полуподвальных помещений №№ 1, 5,                                            г. Тирасполь,  ул.Комарова, д. 17</t>
  </si>
  <si>
    <t>Часть здания, состоящая из помещения подвала № 27 ,                                                                            г. Тирасполь, ул. К. Либкнехта, 72</t>
  </si>
  <si>
    <t xml:space="preserve"> Часть здания, состоящая из помещений второго этажа №№ 1-7, 17, 22-25,                                    г. Тирасполь, ул. 25 Октября, д. 76 </t>
  </si>
  <si>
    <t>Часть здания, состоящая из помещений 1-го этажа №№ 74 – 77, 77′, 78 - 81 ,                             г. Тирасполь, пер. Раевского, д. 10</t>
  </si>
  <si>
    <t>Часть здания, состоящая из помещений первого этажа №№  63-74,                                 г. Тирасполь, ул. Р. Люксембург, д. 77</t>
  </si>
  <si>
    <t>Часть здания, состоящая из помещений полуподвала №№ 1, 1а, 2, 2а, 3, 4, 5, 6, 7, 8, 9,                                                                              г. Тирасполь, ул. Федько, д. 22</t>
  </si>
  <si>
    <t>Часть здания, состоящая из помещений 1 этажа №№ 2, 15,16,23,24,33,                                                        г. Тирасполь, ул. Текстильщиков, д. 38</t>
  </si>
  <si>
    <t>Часть здания, состоящая из помещений подвала №№ 8-15,                                               г. Тирасполь, ул. Курчатова, д. 74</t>
  </si>
  <si>
    <t>Часть здания, состоящая из помещений 1-го этажа №№ 9, 10, 17, 18, 19, 20 ,                                                                    г. Тирасполь, ул. Сакриера, д. 57</t>
  </si>
  <si>
    <t>Часть здания, состоящая из помещений 1-го этажа №№ 37 - 43,                                                         г. Тирасполь, ул. К. Либкнехта, д. 377</t>
  </si>
  <si>
    <t>Часть здания, состоящая из помещений 1-го этажа №№ 18, 23, 24, 25, 35, 36, 37,                                                            г. Тирасполь, ул. Гвардейская, д. 42</t>
  </si>
  <si>
    <t>Часть здания, состоящая из помещений полуподвала № 8, 9,                                                               г. Тирасполь, ул. Энгельса, д. 15</t>
  </si>
  <si>
    <t>Часть здания, состоящая из помещений 1-го этажа №№ 16,                                                        г. Тирасполь, ул. Гвардейская, д. 44</t>
  </si>
  <si>
    <t>Часть здания, состоящая из помещений 2-го этажа,                                                                  г. Тирасполь, пер. 8 Марта, д. 3</t>
  </si>
  <si>
    <t>Часть здания, состоящая из помещений 3-го этажа,                                                                    г. Тирасполь, пер. 8 Марта, д. 3</t>
  </si>
  <si>
    <t>Часть здания, состоящая из помещений подвала № 18,                                                                 г. Тирасполь, пер. 8 Марта, д. 3</t>
  </si>
  <si>
    <t>Каменный гараж № 1 (21,7 кв.м) и металлический гараж (21 кв.м),                                            г. Тирасполь, пер. 8 Марта, д. 3</t>
  </si>
  <si>
    <t>Часть здания, состоящая из помещений подвала №№ 1-17, 19-23, 25-34, 38-43,                                           г. Тирасполь, пер. 8 Марта, д. 3</t>
  </si>
  <si>
    <t>для размещения дежурной части Главного управления по чрезвычайным ситуациям МВД ПМР</t>
  </si>
  <si>
    <t>Министерство внутренних дел ПМР</t>
  </si>
  <si>
    <t>Здание, состоящая из помещений 1 и 2 этажа, а так же помещения подвала,                                          г. Тирасполь, ул. 25 Октября, д. 136</t>
  </si>
  <si>
    <t>№ 62 от 17.01.2022</t>
  </si>
  <si>
    <t>Государственная служба судебных исполнителей Министерства юстиции ПМР</t>
  </si>
  <si>
    <t>Часть здания МОУ «ТСШ № 12», состоящая из помещений 1-го этажа №№ 40, 42 ,                                                                             г. Тирасполь, ул. Юности, д. 38</t>
  </si>
  <si>
    <t>Часть здания МОУ «ТСШ № 11», состоящая из 1/3 части помещения 1-го этажа № 19 ,                                                                      г. Тирасполь, ул. К. Либкнехта, д. 185</t>
  </si>
  <si>
    <t>Часть здания МОУ «ТСШ № 11», состоящая из 1/3 части помещения 1-го этажа № 19,                                                          г. Тирасполь, ул. К. Либкнехта, д. 185</t>
  </si>
  <si>
    <t>Часть здания МОУ «ТСШ № 17», состоящая из 1/2 части помещения 1-го этажа № 7,                                                                г. Тирасполь, ул. Федько, д. 5</t>
  </si>
  <si>
    <t>Часть здания МОУ «ТСШ № 17», состоящая из 1/2 части помещения 1-го этажа № 7 ,                                                         г. Тирасполь, ул. Федько, д. 5</t>
  </si>
  <si>
    <t>Часть здания МОУ «ТСШ № 17», состоящая из 1/2 части помещения 1-го этажа № 7,                                                                      г. Тирасполь,  ул. Федько, д. 5</t>
  </si>
  <si>
    <t>Часть здания, состоящая из помещения 1-го этажа № 19 МОУ «ТСШ № 3 им. А.П. Чехова»,                                                               г. Тирасполь, ул. К. Маркса, д. 180</t>
  </si>
  <si>
    <t>Часть здания корпуса Б МОУ С(К)ОШ-И (спальный корпус), состоящая из помещений 1-го этажа №№ 2, 3 ,                                      г. Тирасполь, ул. Каховская, д. 17</t>
  </si>
  <si>
    <t>Часть здания МУ «Городской Дворец культуры», состоящая из помещения 1-го этажа № 15 ,                                                            г. Тирасполь, ул. 25 Октября, д. 51</t>
  </si>
  <si>
    <t>Часть здания, состоящая из помещения цокольного этажа (бокса) №  8 (48 кв.м), и помещений 2-го этажа №№  35, 36 (55,89 кв.м),                                                                 г. Тирасполь, ул. 25 Октября, д. 36В</t>
  </si>
  <si>
    <t>Часть здания, состоящая из помещений 1-го этажа (773,1 кв.м), помещений второго этажа №№ 23-26, 28-44 (379,9 кв.м), помещений третьего этажа №№ 36, 37, 40, 41 (93,4 кв.м),                                                         г. Тирасполь, ул. 25 Октября, д. 114</t>
  </si>
  <si>
    <t>Часть здания, состоящая из помещений подвала №№ 3-5, 14, 15,                                                 г. Тирасполь, ул. 25 Октября, д. 114</t>
  </si>
  <si>
    <t>Единому государственному фонду социального страхования ПМР</t>
  </si>
  <si>
    <t>Часть здания, состоящая из помещений 1-го этажа № 102 - 110, 110а, 111, 113 - 124 (общей площадью 352,4 кв. м); помещений 2-го этажа №№ 218 – 220, 222 - 228 (общей площадью 166 кв. м); помещений 4-го этажа №№ 429 - 431, 434 - 439, 439а, 445, 450 - 453 (общей площадью 235,7 кв. м); помещений подвала №№ 1-3, 10, 14, 28, 31, 32, 41, 43 (общей площадью 83,9 кв. м); металлического гаража № 2 (общей площадью 21,74 кв. м), капитального гаража № 10 (общей площадью 31,9 кв. м) ,                                                                                        г. Тирасполь, ул. 25 Октября, д. 101</t>
  </si>
  <si>
    <t>Часть здания, состоящая из помещений 2-го этажа №№ 12, 14, 58, 59 (каб. 233, 234, 245, 246),                                                        г. Тирасполь, ул. 25 Октября, д. 101</t>
  </si>
  <si>
    <t>Часть здания, состоящая из помещений 2-го этажа №№ 229, 230, 231, 232,                        г. Тирасполь, ул. 25 Октября, д. 101</t>
  </si>
  <si>
    <t>Часть здания, состоящая из помещения  4-го этажа № 45 (каб. № 424) ,                                         г. Тирасполь, ул. 25 Октября, д. 101</t>
  </si>
  <si>
    <t>Металлический гараж № 3 , капитальный гараж № 14,                                                г. Тирасполь, ул. 25 Октября, д. 101</t>
  </si>
  <si>
    <t>Часть здания, состоящая из помещений №№ 5, 15, 16,                                                             г. Тирасполь, ул. 25 Октября, д. 101</t>
  </si>
  <si>
    <t>Часть здания,  состоящая из помещения 4-го этажа № 30 (каб. 411),                                                 г. Тирасполь, ул. 25 Октября, д. 101</t>
  </si>
  <si>
    <t>Часть здания, состоящая из помещений 4-го этажа №№ 10, 39, 18-23, 25, 70 (каб. 401, 402, 403, 404, 405, 406, 407, 418, 447) (131,1 кв. м), и металлический гараж № 4 (21,74 кв. м),                                                г. Тирасполь, ул. 25 Октября, д. 101</t>
  </si>
  <si>
    <t>Общественные организации</t>
  </si>
  <si>
    <t>Часть здания, состоящая из помещений  1-го этажа №№ 1 - 17 (165,4 кв.м), помещения подвала № 1 (27,2 кв.м),                              г. Тирасполь, ул. Котовского, д. 23</t>
  </si>
  <si>
    <t>Часть здания, состоящая из помещений полуподвала №№ 14, 15, 26, 27 ,                                     г. Тирасполь, ул. К. Либкнехта, д. 82</t>
  </si>
  <si>
    <t>Часть здания, состоящая из помещений полуподвала № 25,                                                             г. Тирасполь, ул. К. Либкнехта, д. 82</t>
  </si>
  <si>
    <t xml:space="preserve"> Часть здания, состоящая из помещений 1- этажа №№ 1, 2, 3, 4,                                                     г. Тимрасполь, ул. Котовского, д. 25                       </t>
  </si>
  <si>
    <t xml:space="preserve">Часть здания состоящая из помещений №№ 10,12,                                                                        г. Тирасполь, ул. 9 Января, д. 210 </t>
  </si>
  <si>
    <t>Часть здания, состоящая из помещений подвала №№ 21, 23, 24, 26, 27, 44, 45, 46, 47, 48,                                                                                   г. Тирасполь, ул. Свердлова, д. 70</t>
  </si>
  <si>
    <t>Часть здания, состоящая из помещений подвала №№ 1, 3,                                                                           г. Тирасполь, ул. Шевченко, д. 81/2</t>
  </si>
  <si>
    <t>Часть здания, состоящая из помещений подвала № 25, 26',                                                          г. Тирасполь, ул. Федько, д. 10</t>
  </si>
  <si>
    <t>Часть здания, состоящая из помещения  2-го этажа № 36,                                                      г. Тирасполь, ул. 25 Октября, д. 76</t>
  </si>
  <si>
    <t>Часть здания, состоящая из помещений подвала № 29,                                                             г. Тирасполь, ул. Федько, д. 10</t>
  </si>
  <si>
    <t>Часть здания, состоящая из помещений подвала №№ 1, 2, 3, 5, 5а, 29 ,                                            г. Тирасполь, ул. ХХ Партсъезда,                             д. 15 А</t>
  </si>
  <si>
    <t>Часть здания, состоящая из помещений подвала №№ 16, 16', 16'', 7,                                                 г. Тирасполь, ул. Федько, д. 12</t>
  </si>
  <si>
    <t>ОО «Тираспольский казачий округ» Черноморского казачьего войска</t>
  </si>
  <si>
    <t>РСОО "Союз радиолюбителей ПМР"</t>
  </si>
  <si>
    <t>Часть крыши жилого дома (1,5 кв.м) и ½ помещения технического этажа № 3 (47,1 кв.м),                                                                     г. Тирасполь, ул. Зелинского, д. 15</t>
  </si>
  <si>
    <t>Часть здания, состоящая из помещений полуподвала № 6 - 12, 18- 23,                                            г. Тирасполь, пер. 2-й Бородинский, д. 2</t>
  </si>
  <si>
    <t xml:space="preserve">Часть здания, состоящая из помещения подвала № 35,                                                                         г. Тирасполь, ул. Краснодонская, д. 36 </t>
  </si>
  <si>
    <t>Часть здания, лит.А, состоящая из подвальных помещений №№ 29-33, 35-46,                                                                               г. Тирасполь, ул. 1 Мая, д. 42</t>
  </si>
  <si>
    <t>для проведения тренировочного процесса регбистов ПМР</t>
  </si>
  <si>
    <t>Часть здания, состоящая из помещения полуподвала № 6,                                                                г. Тирасполь, ул. К. Либкнехта, д. 84</t>
  </si>
  <si>
    <t>Часть здания, состоящая из помещений подвала №№ 4-8, 11-16, 18, 21,                                    г. Тирасполь, ул. Карла Либкнехта,                      д. 205/2</t>
  </si>
  <si>
    <t>Часть здания, состоящая из помещений подвала  №№ 15,16, 23,24,25,                                              г. Тирасполь, ул. Калинина, д. 66</t>
  </si>
  <si>
    <t>Часть здания, состоящая из помещений 2-го этажа №№ 13, 14 ,                                                  г. Тирасполь, ул. 25 Октября, д. 76</t>
  </si>
  <si>
    <t>Часть здания, состоящая из помещения полуподвала № 12,                                                          г. Тирасполь, ул. Юности, д. 8/4</t>
  </si>
  <si>
    <t xml:space="preserve">Часть здания, состоящая из помещения подвала№ 35,                                                                     г. Тирасполь, ул. Краснодонская, д. 36 </t>
  </si>
  <si>
    <t>Часть здания, состоящая из полуподвальных помещений № 28 ,                                                                    г. Тирасполь, ул. Юности, д. 8/4</t>
  </si>
  <si>
    <t>Часть здания, состоящая из помещений 2-го этажа № 21,                                                              г. Тирасполь, ул. 1 Мая, д. 116</t>
  </si>
  <si>
    <t>№ 3318 от 16.12.2021</t>
  </si>
  <si>
    <t>Часть здания, состоящая из помещений подвала 1, 4, 5, 6, 7, 8, 9 ,                                              г. Тирасполь, ул. Ларионова, д. 43</t>
  </si>
  <si>
    <t>Часть здания, состоящая из помещения цокольного этажа № 26 ,                                                     г. Тирасполь, ул. Свердлова, д. 78</t>
  </si>
  <si>
    <t>Часть здания, состоящая из помещений 3-го этажа № № 16-22 ,                                                  г. Тирасполь, ул. Мира, д. 21А</t>
  </si>
  <si>
    <t>МУ "Управление по физической культуре с спорту г. Тирасполь",                     г. Тирасполь,                         бул. Гагарина, д. 1</t>
  </si>
  <si>
    <t>МУ "Управление культуры г. Тирасполь",                     г. Тирасполь,                         ул. Ленина, д. 13</t>
  </si>
  <si>
    <t>Государственная администрация города Тирасполь и города Днестровск,                                              г. Тирасполь, ул. 25 Октября, д. 101</t>
  </si>
  <si>
    <t>Часть здания лит. В, состоящая из помещений №№ 4, 7,                                                     г. Тирасполь, ул. 25 Октября, д. 114</t>
  </si>
  <si>
    <t>Часть здания, состоящая из помещений 2-го этажа №№ 21, 22 и подвала № 6,                                  г. Тирасполь, ул. 25 Октября, д. 114</t>
  </si>
  <si>
    <t>Капитальный гараж № 5 ,                                             г. Тирасполь, ул. 25 Октября, д. 114</t>
  </si>
  <si>
    <t>Комплекс строений, состоящая из Административного корпуса литер А (с пристройкой А1) – 485,2 кв.м, Мастерских литер В – 81,1 кв.м с пристройкой литер в, Столярной мастерской литер Д – 246,7 кв.м, Столовой литер Е – 238,6 кв.м, Складом литер Ж – 291,4 кв.м, Мастерской литер З – 61,3 кв.м, Склада литер И – 139,7 кв.м (с двумя сараями литер 1, 10, пятью гаражами литеры 4, 6, 8, 9, 12, бойлерной литер 5, зданием вахты литер 7),                                                                                   г. Тирасполь, ул. Лермонтова, д. 5</t>
  </si>
  <si>
    <t>Комплекс строений, состоящий из административного корпуса литер Б, склада литер Г и прилегающей к ним территорией,                                                                    г. Тирасполь, ул. Лермонтова, д. 5</t>
  </si>
  <si>
    <t>Часть здания, состоящая из помещения 2-го этажа № 40 (каб. 215),                                                    г. Тирасполь, ул. 25 Октября, д.  101</t>
  </si>
  <si>
    <t>Часть здания, состоящих из помещений 2-го этажа №№ 45, 46,                                                         г. Тирасполь, ул. 25 Октября, д. 114</t>
  </si>
  <si>
    <t xml:space="preserve">Муниципальным унитарным предприятиям и муниципальным учреждениям </t>
  </si>
  <si>
    <t>Часть здания, состоящая из помещения подвала № 1,                                                             г. Тирасполь, ул. Зелинского, д. 23</t>
  </si>
  <si>
    <t>Часть здания, состоящая из помещений подвала №№ 28, 29, 30, 31,                                                   г. Тирасполь, ул. Чапаева, д. 147</t>
  </si>
  <si>
    <t>Часть здания, состоящая из помещения подвала № 7,                                                                          г. Тирасполь, ул. Пушкина, д. 11</t>
  </si>
  <si>
    <t>Часть здания, состоящая из помещения подвала,                                                                          г. Тирасполь, ул. Правды, д. 11</t>
  </si>
  <si>
    <t>Часть здания, состоящая из помещений подвала №№ 9, 10,                                                            г. Тирасполь, ул. Гвардейская, д. 48</t>
  </si>
  <si>
    <t>Часть здания, состоящая из помещения подвала № 10,                                                                            г. Тирасполь, ул. Мира, д. 50/10</t>
  </si>
  <si>
    <t>Часть здания, состоящая из помещения подвала № 36,                                                                                 г. Тирасполь, пгт. Новотираспольский,                                         ул. Ленина, д. 1</t>
  </si>
  <si>
    <t>Часть здания, состоящая из помещений подвала №№ 8, 21, 24, 25,                                          г.Тирасполь, ул. К. Маркса, д. 152</t>
  </si>
  <si>
    <t>Часть здания, состоящая из помещений подвала №№ 3, 11, 11а, 12,                                           г.Тирасполь, ул. Котовского, д. 36</t>
  </si>
  <si>
    <t>Часть здания, состоящая из помещения подвала № 9,                                                   г.Тирасполь, ул. Мира, д. 48</t>
  </si>
  <si>
    <t>Часть здания, состоящая из помещения подвала № 11,                                                             г. Тирасполь, ул. К. Либкнехта, д. 201/1</t>
  </si>
  <si>
    <t>Часть здания, состоящая из помещений подвала № 14,                                                                              г. Тирасполь, ул. Шевченко, д. 81/2</t>
  </si>
  <si>
    <t>Часть здания, состоящая из помещения подвала № 18,                                                              г. Тирасполь, пер. Раевского, д. 10</t>
  </si>
  <si>
    <t>Часть здания, состоящая из помещений подвала № № 4, 9,                                                            г. Тирасполь, ул. Текстильщиков д. 26</t>
  </si>
  <si>
    <t>Часть здания, состоящая из помещений подвала № № 3, 12,                                                                  г. Тирасполь, ул. Каховская, д. 13/4</t>
  </si>
  <si>
    <t xml:space="preserve">Часть здания, состоящая из помещений подвала № № 1, 2, 5, 6, 7,                                            г. Тирасполь, ул. Краснодонская, д. 42         </t>
  </si>
  <si>
    <t xml:space="preserve">Часть здания, состоящая из подвальных помещений №№ 1, 5, 6,                                                             г. Тирасполь, ул. Одесская, д. 78 </t>
  </si>
  <si>
    <t>Часть здания, состоящая из подлесничного помещения,                                                                    г. Тирасполь, пер. Вокзальный, 2</t>
  </si>
  <si>
    <t xml:space="preserve"> Часть здания, состоящая из помещений подвала №№ 14, 15, 16, 17, 18, 19, 20, 21, 22,                                                                        г. Тирасполь, ул. Чапаева, д. 147</t>
  </si>
  <si>
    <t>Часть здания литер А1, состоящая из помещений 1-го этажа №№ 47-58, 60, помещений 2-го этажа №№ 42-45, 47, 50-55,                                                                                            г. Тирасполь, бульвар Гагарина, д. 1</t>
  </si>
  <si>
    <t>Часть здания, состоящая из помещений подвала  №№ 1-6,                                                         г. Тирасполь, ул. Калинина, д. 53</t>
  </si>
  <si>
    <t>Часть здания, состоящая из помещений полуподвала  №№ 8, 10-22,                                                      г. Тирасполь, ул. Одесская, д. 76</t>
  </si>
  <si>
    <t>Часть здания, состоящая из помещений подвала  №№ 17-28,                                                             г. Тирасполь, ул. Федько, д. 18</t>
  </si>
  <si>
    <t>Часть здания, состоящая из помещений подвала  №№ 3, 4, 5,                                                                    г. Тирасполь, ул. Краснодонская, д. 36/5</t>
  </si>
  <si>
    <t>Часть здания, состоящая из помещений 1-го этажа № 60, части помещения № 59 ,                                                 г. Тирасполь, пер. Западный, д. 19/7</t>
  </si>
  <si>
    <t>Часть здания, состоящая из помещений подвала  №№ 6, 16,                                                        г. Тирасполь, ул. Федько, д. 18</t>
  </si>
  <si>
    <t>Часть здания, состоящая из помещений 2-го этажа №№  1-6,                                                                     г. Тирасполь, ул. 1 Мая,  д. 116</t>
  </si>
  <si>
    <t xml:space="preserve">МУ "УНО                                            г.  Тирасполь",                     г. Тирасполь, ул. Манойлова, д. 33                         </t>
  </si>
  <si>
    <t>Часть здания, состоящая из помещений второго этажа №№ 1-36,                                                             г. Тирасполь, ул. К. Либкнехта, д. 98А</t>
  </si>
  <si>
    <t>Часть здания, состоящая из помещения 3-го этажа №№ 20, 23 (каб. 301) ,                                         г. Тирасполь, ул. 25 Октября, д. 47</t>
  </si>
  <si>
    <t>Часть здания, состоящая из помещений цокольного этажа №№ 4, 9, 10, 12, 40-42, 44-52,                                                                           г. Тирасполь, ул. К.Либкнехта, д. 98А</t>
  </si>
  <si>
    <t>Часть здания, состоящая из помещения коридора 1-го этажа № № 23, 24, 25,                                                       г. Тирасполь, ул. Р. Люксембург,                                              д. 69</t>
  </si>
  <si>
    <t>МУ "УФКиС                                            г.  Тирасполь",                     г. Тирасполь, бул. Гагарина, д. 1</t>
  </si>
  <si>
    <t>Часть здания литер 2 ,                                                                  г. Тирасполь, ул. 25 Октября, д. 36В</t>
  </si>
  <si>
    <t>Часть здания, состоящая из помещений 3-го этажа №№ 1 - 6, 19 - 21, 23 - 26,                                                   г. Тирасполь, ул. 25 Октября, д. 114</t>
  </si>
  <si>
    <t>Часть здания, состоящая из помещения 1-го этажа № 31 (каб. 125) ,                                                        г. Тирасполь, ул. 25 Октября, д. 101</t>
  </si>
  <si>
    <t xml:space="preserve">Государственным унитарным предприятиям и государственным учреждениям </t>
  </si>
  <si>
    <t>Часть здания, состоящая из помещения подвала № 6,                                                                      г. Тирасполь, ул. Одесская, д. 80/5</t>
  </si>
  <si>
    <t>Часть здания, состоящая из помещений подвала №№ 1, 2,                                                                   г. Тирасполь, пр. Магистральный,                          д. 14</t>
  </si>
  <si>
    <t>Часть здания, состоящая из помещений подвала №№ 8, 9, 22,                                                   г. Тирасполь, ул. Юности, д. 27</t>
  </si>
  <si>
    <t>Часть здания, состоящая из подвального помещения № 41,                                                                     г. Тирасполь, ул. Юностия, д. 49</t>
  </si>
  <si>
    <t>Часть здания, состоящая из подвального помещения № 17,                                                                   г. Тирасполь, ул. 25 Октября, д. 105</t>
  </si>
  <si>
    <t>Часть здания, состоящая из помещений подвала № 2-4,                                                                           г. Тирасполь, ул. К. Либкнехта, д. 201/1</t>
  </si>
  <si>
    <t>Часть здания, состоящая из помещений подвала №№ 5, 11,                                                         г. Тирасполь, ул. Одесская, д. 82</t>
  </si>
  <si>
    <t xml:space="preserve">Часть здания, состоящая из помещений подвала №№ 54, 58, 59 и части помещения № 57,                                                              г. Тирасполь, ул. Краснодонская, д. 36 </t>
  </si>
  <si>
    <t>Часть здания, состоящая из помещений 1-го этажа №№ 53, 54, 55, 59, 61, 62 ,                                              г. Тирасполь, ул. Гвардейская, д. 48</t>
  </si>
  <si>
    <t>Часть здания, состоящая из помещений подвала  №№ 47-53, 55, 57-61, 66,                                                   г. Тирасполь, ул. Ленина, д. 22</t>
  </si>
  <si>
    <t>Часть здания, состоящая из помещений 1-го этажа №№ 1-22,                                                           г. Тирасполь, ул. Федько, д. 18</t>
  </si>
  <si>
    <t>Часть здания, состоящая из помещений 1-го этажа №№ 2, 4, 4", 5,                                                г. Тирасполь, ул. Сакриера, д. 57</t>
  </si>
  <si>
    <t>Часть здания, состоящая из помещений 1-го этажа №№ 64-69, 71, 72,                                               г. Тирасполь, ул. Федько, д. 17</t>
  </si>
  <si>
    <t>Часть здания, состоящая из помещений подвала  №№ 1-5, 18, 20,                                                 г. Тирасполь, ул. Юности, д. 15/2</t>
  </si>
  <si>
    <t>Часть здания, состоящая из помещений подвала № 25,                                                                  г. Тирасполь, ул. Гвардейская, д. 21</t>
  </si>
  <si>
    <t>Часть здания, состоящая из помещений подвала №№ 1, 2, 8, 9, 10,                                                   г. Тирасполь, ул. Котовского, д. 36</t>
  </si>
  <si>
    <t xml:space="preserve">Часть здания лит. А, состоящая из помещений №№ 2 – 24 шестнадцатого этажа, помещений № 1, №№ 3 -  14, 16, 17, №№ 20 – 26 семнадцатого этажа, помещений № 1, №№ 3 – 20, №№ 22 – 27 восемнадцатого этажа,                                                    г. Тирасполь, ул. Юности,  д. 1 </t>
  </si>
  <si>
    <t>Часть здания литер А, состоящая из помещений 1-го этажа №№ 1-23, 26-34, 36-66, 59а, 73, 74, 75, 76, 78, 79, 80 (906,1 кв.м) и помещений подвала №№ 21, 28, 29  (65,6 кв.м),                                                  г. Тирасполь, ул. Комсомольская, д.10/2</t>
  </si>
  <si>
    <t>Часть здания, состоящая из помещений подвала №№ 20 – 28 (108,8 кв. м), помещений 1-го этажа №№ 64 – 70, 72 – 85 (200,4 кв.м),                                                                    г. Тирасполь, ул.  Комсомольская, д. 1</t>
  </si>
  <si>
    <t>Часть гаража с транспортной пристройкой,                                                г. Тирасполь, ул. Каховская, д. 17</t>
  </si>
  <si>
    <t>Часть здания, состоящая из помещения первого этажа № 11,                                                      г. Тирасполь, ул. Циолковского, д. 22</t>
  </si>
  <si>
    <t>Прочие организации</t>
  </si>
  <si>
    <t xml:space="preserve">Часть здания, крыш жилого дома,                                         г. Тирасполь, ул. К. Цеткин, д. 1/1   </t>
  </si>
  <si>
    <t xml:space="preserve">Часть здания, крыш жилого дома,                                       г. Тирасполь, ул. Крупской, д. 5 </t>
  </si>
  <si>
    <t>Часть технического этажа жилого дома,                                         г. Тирасполь, ул. Юности, д. 37</t>
  </si>
  <si>
    <t>Часть здания, состоящая из помещений 2-го этажа №№ 15, 16, 17, 18, 19, 20,                                        г. Тирасполь, ул. 25 Октября, д. 76</t>
  </si>
  <si>
    <t>Часть здания лит. А, состоящая из помещений второго этажа №№ 24, 25, 35,                                                                                              г. Тирасполь, ул. 25 Октября, д. 76</t>
  </si>
  <si>
    <t>Часть здания лит. А, состоящая из  чердачных помещений №№ 1, 1’, 2, 3,                                             г. Тирасполь, ул. Пушкина, д. 20</t>
  </si>
  <si>
    <t>Часть крыши жилого дома,                                                 г. Тирасполь, ул. Комсомольская, д. 9</t>
  </si>
  <si>
    <t>Часть крыши жилого дома,                                           г. Тирасполь, ул. 1 Мая, д. 50</t>
  </si>
  <si>
    <t>Часть здания литер Л,                                                    г. Тирасполь, ул. К. Либкнехта, д. 144А</t>
  </si>
  <si>
    <t>Часть спортивно-оздоровительного лагеря «Спартак», состоящий из литер Д, Д1 – столовая, общей площадью 333,4 кв.м;   литер Ж – жилой домик, общей площадью 454,6 кв.м; литер II – часть забора; литер IV – ворота; литер V – ворота; литер VII – навес; литер VIII – сцена; литер XIII – навес; литер 85 – туалет;       литер 86 – умывальник; литеры 87, 88, 89, 90, 91, 92, 93 – домики; литер 94 – погреб,                                                     Кицканский лес</t>
  </si>
  <si>
    <t>Часть здания литер А, состоящая из помещений второго этажа №№ 1, 2, 4, 5, 6, 7, 12 - 15,                                                                    г. Тирасполь, ул. 25 Октября, д. 114</t>
  </si>
  <si>
    <t>МУП "ИПЦ"</t>
  </si>
  <si>
    <t>Часть здания, состоящая из помещений вторго этажа  №№ 1, 3-10, 70 (каб. 236-244), капитальный гараж № 9,                                                 г.Тирасполь, ул. 25 Октября, д. 101</t>
  </si>
  <si>
    <t>Часть здания,  состоящая из помещений 4-го этажа №№ 31 - 33 (каб. 412 -  414),                                         г. Тирасполь, ул. 25 Октября, д. 101</t>
  </si>
  <si>
    <t>ПК ЖЭК "Небоскреб", г. Тирасполь, ул. Одесская, д. 88/1</t>
  </si>
  <si>
    <t>ПК ЖЭК "Гвардейский", г. Тирасполь, ул. Гвардейская, д. 44</t>
  </si>
  <si>
    <t>МУ "УНО г. Тирасполь",                        г. Тирасполь,               ул. Манойлова,                      д. 33</t>
  </si>
  <si>
    <t>МУ "УК г. Тирасполь",                          г. Тирасполь,                                ул. Ленина, д. 13</t>
  </si>
  <si>
    <t>МУ "УФКиС г. Тирасполь",                           г. Тирасполь,                                 бул. Гагарина, д. 1</t>
  </si>
  <si>
    <t>Государственная администрация города Тирасполь и города Днестровск,                                              г. Тирасполь,                                      ул. 25 Октября,                                 д. 101</t>
  </si>
  <si>
    <t xml:space="preserve">МУ "УНО                                            г.  Тирасполь",                     г. Тирасполь,                             ул. Манойлова,                       д. 33                         </t>
  </si>
  <si>
    <t xml:space="preserve">МУ "УК                                            г.  Тирасполь",                     г. Тирасполь,                                ул. Ленина, д. 13                       </t>
  </si>
  <si>
    <t>МУ "УФКиС                                            г.  Тирасполь",                     г. Тирасполь,                                 бул. Гагарина, д. 1</t>
  </si>
  <si>
    <t>Государственная администрация города Тирасполь и города Днестровск,                                              г. Тирасполь,                        ул. 25 Октября,      д. 101</t>
  </si>
  <si>
    <t>Государственная администрация города Тирасполь и города Днестровск,                                              г. Тирасполь,                            ул. 25 Октября,                          д. 101</t>
  </si>
  <si>
    <t>Часть здания МОУ «ТСШ № 5», состоящая из помещения 1-го этажа № 13,                                                                     г. Тирасполь, ул. Краснодонская, д. 62</t>
  </si>
  <si>
    <t>МУ "Служба социальной помощи                                 г. Тирасполь"</t>
  </si>
  <si>
    <t>МУ "УК                               г. Тирасполь"</t>
  </si>
  <si>
    <t>МУП "Спецавтохозяйство                                               г. Тирасполь"</t>
  </si>
  <si>
    <t>МУ "УНО                                г. Тирасполь</t>
  </si>
  <si>
    <t>МУП "Спецавтохозяйство,                                        г. Тирасполь"</t>
  </si>
  <si>
    <t>МУП "ЖЭУК                      г. Тирасполя"</t>
  </si>
  <si>
    <t>Государственная служба охранвы ПМР</t>
  </si>
  <si>
    <t>договора с обслуживающими организациями</t>
  </si>
  <si>
    <t>УВД                                                              г. Тирасполь</t>
  </si>
  <si>
    <t>УВД                                    г. Тирасполь</t>
  </si>
  <si>
    <t>ИТОГО</t>
  </si>
  <si>
    <t>МУ "УФКиС г. Тирасполь",                                                на основании поручения Правительства ПМР от 26.03.2020 № 01-35/23</t>
  </si>
  <si>
    <t>№ 1964 от 24.07.2018,                            № 836 от 31.03.2020</t>
  </si>
  <si>
    <t>доп. соглашение по ум. площади</t>
  </si>
  <si>
    <t xml:space="preserve">МУП "ЖЭУК г. Тирасполь",                                                          в соотсетствии с п. 22 Решения ТГСНД                                         от 17.02.2022 года № 2 «Об утверждении местного бюджета города Тирасполь на 2022 год»   </t>
  </si>
  <si>
    <t xml:space="preserve">ПК ЖЭК "Гвардейский",                                                          в соотсетствии с п. 22 Решения ТГСНД                                         от 17.02.2022 года № 2 «Об утверждении местного бюджета города Тирасполь на 2022 год»     </t>
  </si>
  <si>
    <t xml:space="preserve">МУ "УНО г. Тирасполь",                                                                в соотсетствии с п. 22 Решения ТГСНД                                         от 17.02.2022 года № 2 «Об утверждении местного бюджета города Тирасполь на 2022 год»      </t>
  </si>
  <si>
    <t>№ 673 от 21.03.2022</t>
  </si>
  <si>
    <t>Депутат ТГСНД Иващук Дмитрий Леонидович</t>
  </si>
  <si>
    <t>Часть здания, состоящая из помещения 1-го этажа № 28,                                                                             г. Тирасполь, ул. Карла Либкнехта, д. 98А7</t>
  </si>
  <si>
    <t>для приема граждан по избирательному округу по графику: первый и третий четверг месяца с 16:30 часов до 18:00 часов</t>
  </si>
  <si>
    <t>Часть здания МОУ «ТСШ № 5», состоящая из помещения 1-го этажа № 13,                                                                         г. Тирасполь, ул. Краснодонская, д. 62</t>
  </si>
  <si>
    <t xml:space="preserve">МУП "ЖЭУК г. Тирасполя",                                                                в соотсетствии с п. 22 Решения ТГСНД                                         от 17.02.2022 года № 2 «Об утверждении местного бюджета города Тирасполь на 2022 год»      </t>
  </si>
  <si>
    <t>№ 334 от 14.02.2022</t>
  </si>
  <si>
    <t>Металлический гараж № 1,                                         г. Тирасполь, ул. 25 Октября, д. 101</t>
  </si>
  <si>
    <t>для размещения служебного авромобиля и материального имущества Управления Народного ополчения</t>
  </si>
  <si>
    <t>Министерство финансов ПМР                                  (гос долг 359 011,19 руб.)</t>
  </si>
  <si>
    <t>Приложение № 3</t>
  </si>
  <si>
    <t>Часть здания, состоящая из помещений                     2-го этажа №№ 1, 10 – 15 и помещений                          3-го этажа №№ 10 - 16 ,                                                               г. Тирасполь, ул. 95 Молдавской дивизии, д. 2 Б</t>
  </si>
  <si>
    <t>№ 849 от 05.04.2022</t>
  </si>
  <si>
    <t>Легкоатлетический манеж МОУ ДО «СДЮШОР № 2 им. В.Б. Долгина»,                           г. Тирасполь, ул. Одесская, д. 75</t>
  </si>
  <si>
    <t>для проведения занятий по физической подготовке военнослужащих войсковой части 10524 Министерства обороны ПМР по графику: каждый четверг с 7:30 часов до 9:00 часов.</t>
  </si>
  <si>
    <t>договора с обслуживающей организацией</t>
  </si>
  <si>
    <t>для размещения первичной организации № 13                              по согласованному графику: вторник                         с 11:00 часов  до 12:00 часов</t>
  </si>
  <si>
    <t xml:space="preserve">ГУП "Водоснабжение и водоотведение", частично по договорам с обслуживающими организациями и частично по счетам Балансодержателя                                               </t>
  </si>
  <si>
    <t xml:space="preserve">Часть здания, крыш жилого дома,                                                       г. Тирасполь, ул. Свердлова, д. 70           </t>
  </si>
  <si>
    <t>не оплачивается</t>
  </si>
  <si>
    <t>№ 1272 от 23.05.2022</t>
  </si>
  <si>
    <t>ОО «Станица «Тираспольская» имени генерал-майора Бондарчука В.Г. Тираспольского казачьего округа Черноморского казачьего войска»</t>
  </si>
  <si>
    <t>Часть здания, состоящая из помещений подвала №№ 15, 18,                                                         г. Тирасполь, ул. К. Либкнехта, д. 72</t>
  </si>
  <si>
    <t>для проведения собраний членов  организации</t>
  </si>
  <si>
    <t xml:space="preserve"> размещение офиса представительства Республики Абхазии</t>
  </si>
  <si>
    <t>не оплачиваются</t>
  </si>
  <si>
    <t>размещение ГУ "Республиканский центр по протезированию и ортопедии"</t>
  </si>
  <si>
    <t>теплоэнергия, водоснабжение и водоотведение не оплачиваются</t>
  </si>
  <si>
    <t>№ 1380 от 09.06.2022</t>
  </si>
  <si>
    <t>№ 333 от 14.02.2022</t>
  </si>
  <si>
    <t>коммуникации отсутствуют</t>
  </si>
  <si>
    <t>№ 365 от 16.02.2022</t>
  </si>
  <si>
    <t>коммуникация отсутствует</t>
  </si>
  <si>
    <t>№ 366 от 16.02.2022</t>
  </si>
  <si>
    <t>№ 1308 от 30.05.2022</t>
  </si>
  <si>
    <t>Гаражи литер Б №№ 1, 2, 3, 4, 5, 7</t>
  </si>
  <si>
    <t>оплачивает ОО "ТО "Чернобыль"</t>
  </si>
  <si>
    <t>Капитальный гараж № 14,                                                                    г. Тирасполь, ул. 25 Октября, д. 101</t>
  </si>
  <si>
    <t>за электричество не оплачивают. Установлен генератор.</t>
  </si>
  <si>
    <t>не оплачавают</t>
  </si>
  <si>
    <t>№ 1813 от 21.07.2022</t>
  </si>
  <si>
    <t xml:space="preserve">срок действия договора истек </t>
  </si>
  <si>
    <t>Фонд государственного резерва ПМР                             (гос долг 10 840 руб.)</t>
  </si>
  <si>
    <t>доп соглашения</t>
  </si>
  <si>
    <t>задолженность МУП "ТКДП "Школьник" за период с 11.08.2020 по 27.05.2021,                                      с 27.02.2021                                               МУ "УНО  г.  Тирасполь",                            в соотсетствии с решениями ТГСНД                                                      от 29.07.2021 № 7,                                                          от 17.02.2022 № 13</t>
  </si>
  <si>
    <t>МУП "ЖЭУК г.  Тирасполь",                                                в соотсетствии с решениями ТГСНД                                                      от 29.07.2021 № 7,                                                          от 17.02.2022 № 13</t>
  </si>
  <si>
    <t>задолжность РОО «Федерация по гребле на байдарках и каноэ Приднестровья» образовалась до 27.05.2021,                                           с 27.05.2021                                       МУ "УФКС                                           г. Тирасполь",                                          в соотсетствии с решениями ТГСНД                                                      от 29.07.2021 № 7,                                                          от 17.02.2022 № 13</t>
  </si>
  <si>
    <t>Государственная администрация города Тирасполь и города Днестровск,                                                                                          в соотсетствии с решениями ТГСНД                                                      от 29.07.2021 № 7,                                                          от 17.02.2022 № 13</t>
  </si>
  <si>
    <t>Государственная администрация города Тирасполь и города Днестровск,                                                                             в в соотсетствии с решениями ТГСНД                                                      от 29.07.2021 № 7,                                                          от 17.02.2022 № 13</t>
  </si>
  <si>
    <t>Государственная администрация города Тирасполь и города Днестровск,                                                                        в соотсетствии с решениями ТГСНД                                                      от 29.07.2021 № 7,                                                          от 17.02.2022 № 13</t>
  </si>
  <si>
    <t>доп.соглашение №№1, 2 по изменению лимитов по уплавте коммунальных платежей</t>
  </si>
  <si>
    <t>Часть здания, состоящая из помещений технического этажа №№ 1, 2,                                                             г. Тирасполь, ул. 25 Октября, д. 108</t>
  </si>
  <si>
    <t>Часть здания, состоящая из полуподвального помещения № 13,                                                                                г. Тирасполь, ул. Юности, д. 8/4</t>
  </si>
  <si>
    <t>Часть здания, состоящая из помещения 1-го этажа № 20 ,                                                                                            г. Тирасполь, ул. Текстильщиков, д. 38</t>
  </si>
  <si>
    <t>Часть здания, состоящая из помещений 1-го этажа №№ 17, 19, 20 ,                                                           г. Тирасполь, ул. Одесская, д. 88/1</t>
  </si>
  <si>
    <t>Часть здания, состоящая из помещений 1-го этажа №№ 5, 6, 7 ,                                                                   г. Тирасполь, ул. Гвардейская, д. 44</t>
  </si>
  <si>
    <t>Часть здания, состоящая из помещений 1-го, 4-го, 5-го этажей,                                                                 г. Тирасполь, пер. 8 Марта, д. 3</t>
  </si>
  <si>
    <t>Часть здания, состоящая из помещений 6-го этажа (533,3 кв. м) и помещения подвала № 35 – 37 (63 кв. м),                                                                                           г. Тирасполь, пер. 8 Марта, д. 3</t>
  </si>
  <si>
    <t>Часть здания корпуса Б МОУ С(К)ОШ-И (спальный корпус), состоящая из помещений 1-го этажа №№ 2, 3,                                                                         г. Тирасполь, ул. Каховская, д. 17</t>
  </si>
  <si>
    <t>Часть здания, состоящая из помещений 2-го этажа №№ 12, 14, 58, 59 (каб. 233, 234, 245, 246),                                                                                    г. Тирасполь, ул. 25 Октября, д. 101</t>
  </si>
  <si>
    <t>Часть здания, состоящая из помещения 2-го этажа № 12,                                                                                  г. Тирасполь, ул. Свердлова, д. 78</t>
  </si>
  <si>
    <t>МУП "ТПСО",                    г. Тирасполь,                                    ул. Свердлова,                                д. 57 (3 эт.)</t>
  </si>
  <si>
    <t>Здание литер Б, состоящая из помещений 1-го этажа №№ 1 – 4ъ                                                          г. Тирасполь, ул. 25 Октября, д. 116</t>
  </si>
  <si>
    <t>Часть здания, состоящая из помещения подвала № 26/1,                                                     г. Тирасполь, ул. Федько, д. 10</t>
  </si>
  <si>
    <t>№ 1292 от 26.05.2022</t>
  </si>
  <si>
    <t>Каменный гараж № 2,                                            г. Тирасполь, пер. 8 Марта, д. 3</t>
  </si>
  <si>
    <t>№ 1749 от 18.07.2022</t>
  </si>
  <si>
    <t>НП "Диаспора ромов "Шатер на Днестре"</t>
  </si>
  <si>
    <t>Часть здания, состоящая из помещений полуподвала  №№ 1, 2, 3, 4, 5, 6, 7, 33, 34,                                                                                 г. Тирасполь, ул. Текстильщиков, д. 24/5</t>
  </si>
  <si>
    <t>для размещения организации НП "Диаспора ромов "Шатер на Днестре"</t>
  </si>
  <si>
    <t>№ 1814 от 21.07.2022</t>
  </si>
  <si>
    <t>ОО "Республиканский союз защитников ПМР"</t>
  </si>
  <si>
    <t>Часть здания, состоящая из помещений подвала №№ 4, 4а, 5, 5а, 17, 18, 19, 19а, 20, 21, 22,                                                                              по адресу: г. Тирасполь, ул. Восстания, д. 93</t>
  </si>
  <si>
    <t>Часть здания, состоящая из помещений подвала №№ 1, 2, 21, 22, 23, 24, 25,                     по адресу: г. Тирасполь, ул. Петровского, д. 97</t>
  </si>
  <si>
    <t>Часть здания, состоящая из помещений подвала №№ 19, 20, 21,                                                        по адресу: г. Тирасполь, ул. Петровского, д. 99</t>
  </si>
  <si>
    <t>ддля размещения Военно-спортивных клубов «БАРС»</t>
  </si>
  <si>
    <t>№ 1931 от 01.08.2022</t>
  </si>
  <si>
    <t>№ 1981 от 05.08.2022</t>
  </si>
  <si>
    <t>№ 1980 от 05.08.2022</t>
  </si>
  <si>
    <t>№ 2027 от 11.08.2022</t>
  </si>
  <si>
    <t>№ 2104 от 18.08.2022</t>
  </si>
  <si>
    <t>НП СГП «Женщины-инвалиды Приднестровья»</t>
  </si>
  <si>
    <t>Часть здания, состоящая из помещений подвала № 26',                                                          г. Тирасполь, ул. Федько, д. 10</t>
  </si>
  <si>
    <t>для проведения уставной деятельности организации  по графику: вторник, пятница с 13:00 часов до 15:00 часов</t>
  </si>
  <si>
    <t>№ 2229 от 06.09.2022</t>
  </si>
  <si>
    <t>пом. № 26' - для хранения имущества,                           пом. № 25 - для проведения уставной деятельности организации  по графику: понедельник, четверг с 12:00 ч. до 14:00 ч.</t>
  </si>
  <si>
    <t>№ 2315 от 12.09.2022</t>
  </si>
  <si>
    <t>по состоянию на 01 октября 2022 года</t>
  </si>
  <si>
    <t>задолженность в сумме 747,52 - долг на 1.01.2022 года.Оформляется договор переуступки долга.</t>
  </si>
  <si>
    <t>Часть здания, состоящая из помещения                       1-го этажа № 40 МОУ «ТСШ № 18» ,                                г. Тирасполь, ул. Комсомольская, д. 4/3</t>
  </si>
  <si>
    <t>Часть здания, состоящая из помещений                 1-го этажа №№ 27 -31, 33, 35, 36,                                       г. Тирасполь, ул. К.Либкнехта, д. 98А</t>
  </si>
  <si>
    <t>Договор расторгнут с 1.08.2022 года</t>
  </si>
  <si>
    <t>№ 1660                  от 25.06.2021</t>
  </si>
  <si>
    <t>услуги ЖКХ</t>
  </si>
  <si>
    <t>Часть здания, состоящая из помещения                       2-го этажа № 22,                                                         г. Тирасполь, ул. 25 Октября, д. 76</t>
  </si>
  <si>
    <t>под размещение                 ОО "Союз русских общин Приднестровья"</t>
  </si>
  <si>
    <t>Часть здания, состоящая из помещений                   2-го этажа № 21,                                                            г. Тирасполь, ул. 1 Мая, д. 116</t>
  </si>
  <si>
    <t>Часть здания, состоящая из помещения                2-го этажа № 11 ,                                                                        г. Тирасполь, ул. 25 Октября, д. 114</t>
  </si>
  <si>
    <t>Часть здания. состоящая из помещений                   2-го этажа № 11,                                                                            г. Тирасполь,  ул. 25 Октября, д. 76</t>
  </si>
  <si>
    <t>ПК "Садово-огородническое товарищество "Сад ветеранов"</t>
  </si>
  <si>
    <t>№ 2764 от 17.10.2018, внесено изм.                        № 1934 от 2.08.2022</t>
  </si>
  <si>
    <t>Часть здания, состоящая из помещений 1-го этажа №№ 56, 57, 58, 63,                                                          г. Тирасполь, ул. Гвардейская, д. 48</t>
  </si>
  <si>
    <t>№ 2023 от 2.08.2021,                внес. изм.                            № 2054 от 16.08.2022</t>
  </si>
  <si>
    <t xml:space="preserve">доп. согл. по исключению объекта </t>
  </si>
  <si>
    <t>доп. согл. по ум. площади</t>
  </si>
  <si>
    <t>Часть здания, состоящая из помещений 4-го этажа №№ 10, 39, 18-23, 25, 70 (каб. 401, 402, 403, 404, 405, 406, 407, 418, 447) (131,1 кв. м), и металлический гараж № 4 (21,74 кв. м),                                                                                                          г. Тирасполь, ул. 25 Октября, д. 101</t>
  </si>
  <si>
    <t>№ 1581 от 21.07.2020</t>
  </si>
  <si>
    <t>размещение общественной приемной данной организации по графику: вторник с 10:00 часов до 12:00 часов</t>
  </si>
  <si>
    <t>Часть здания, состоящая из помещения                         № 16 ,                                                                             г. Тирасполь, ул. 25 Октября, д. 114</t>
  </si>
  <si>
    <t>доп соглашения по освобождению от уплаты ком. услуг</t>
  </si>
  <si>
    <t>№ 1584 от 21.07.2020, внес. изм.                        № 1625 от 04.07.2022</t>
  </si>
  <si>
    <t>№ 2872 от 3.11.2021, внес. изм.                        № 1501 от 22.06.2022</t>
  </si>
  <si>
    <t xml:space="preserve">доп. соглашение с указанием графика работы </t>
  </si>
  <si>
    <t>№ 835 от 31.03.2020, внес. изм.                        № 1491 от 21.06.2022</t>
  </si>
  <si>
    <r>
      <t>№ 683 от 11.03.2020,         внес. изм.               № 2343 от 6.09.2021,</t>
    </r>
    <r>
      <rPr>
        <sz val="8"/>
        <color rgb="FFFF0000"/>
        <rFont val="Times New Roman"/>
        <family val="1"/>
        <charset val="204"/>
      </rPr>
      <t xml:space="preserve">                    </t>
    </r>
    <r>
      <rPr>
        <sz val="8"/>
        <rFont val="Times New Roman"/>
        <family val="1"/>
        <charset val="204"/>
      </rPr>
      <t>№ 850 от 05.04.2022</t>
    </r>
  </si>
  <si>
    <t>УВД г. Тирасполь                                     МВД ПМР</t>
  </si>
  <si>
    <t>№ 1252 от 23.05.2022, внес. изм.                        № 2638 от 21.10.2022</t>
  </si>
  <si>
    <t xml:space="preserve">направлены письма в адрес Мин. по соц. защите и труду ПМР и Правительства ПМР о погашении задолженности, доп. соглашение о распространинии действия договора с 1.01.2022 года  для утверждения лимитов   </t>
  </si>
  <si>
    <t xml:space="preserve"> Часть здания, состоящая из помещений                2-го этажа №№ 6 - 8, 8а, 9 – 14, 19,                             г. Тирасполь, ул. Мира, д. 21 А</t>
  </si>
  <si>
    <t>для размещения офиса писателей Приднестровья</t>
  </si>
  <si>
    <t>Часть здания, состоящая из кабинетов 4-го этажа №№ 419 – 423, 425-428, 432, 440, 441, 443, 444, 448, 449 (283,6 кв.м),  и каменного гаража № 12 (30,2 кв.м),                                                           г. Тирасполь, ул. 25 Октября, д. 101</t>
  </si>
  <si>
    <t xml:space="preserve">Часть здания, состоящая из помещений подвала    №№ 7, 8, 9, 12, 13,                                                   г. Тирасполь, ул. К. Либкнехта, д. 72 </t>
  </si>
  <si>
    <t>ОО "Федерация бокса                             г. Тирасполь"</t>
  </si>
  <si>
    <t>№ 3162 от 5.12.2019, внес. изм.                             № 2308 от 27.08.2021,                        № 884 от 08.04.2022</t>
  </si>
  <si>
    <t>Часть здания литер А, состоящая из помещения машинного зала лифтовой № 4, г. Тирасполь, ул. Манойлова, д. 36</t>
  </si>
  <si>
    <t>Часть здания, состоящая из помещения крыши № 7, г. Тирасполь, ул. Крупской, д. 5</t>
  </si>
  <si>
    <t>Часть здания, состоящая из помещения крыши № 2 , г. Тирасполь, ул. Свердлова, д. 70</t>
  </si>
  <si>
    <t>Часть здания литер А 3, состоящая из  помещения крыши  № 17 , г. Тирасполь, пер. Набережный, д. 1</t>
  </si>
  <si>
    <t>Часть здания, состоящая из помещений 2-го этажа №№ 8, 9, 20, 22,  г. Тирасполь, ул. 1 Мая, д. 116</t>
  </si>
  <si>
    <t>Часть здания, состоящая из помещений подвала № 14, 12, г. Тирасполь, ул. Свердлова, д.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</si>
</sst>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0"/>
      <color theme="1"/>
      <name val="Century"/>
      <family val="1"/>
      <charset val="204"/>
    </font>
    <font>
      <sz val="8"/>
      <color theme="1"/>
      <name val="Century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Century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Times New Roman"/>
      <family val="1"/>
      <charset val="204"/>
    </font>
    <font>
      <sz val="1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entury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1" xfId="0" applyFont="1" applyBorder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/>
    <xf numFmtId="0" fontId="5" fillId="0" borderId="4" xfId="0" applyFont="1" applyBorder="1" applyAlignment="1"/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0" fontId="5" fillId="0" borderId="9" xfId="0" applyFont="1" applyBorder="1" applyAlignment="1">
      <alignment vertical="center"/>
    </xf>
    <xf numFmtId="0" fontId="5" fillId="0" borderId="9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12" fillId="0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0" fontId="9" fillId="3" borderId="0" xfId="0" applyFont="1" applyFill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2" fontId="14" fillId="7" borderId="1" xfId="0" applyNumberFormat="1" applyFont="1" applyFill="1" applyBorder="1" applyAlignment="1">
      <alignment horizontal="center" vertical="center" wrapText="1"/>
    </xf>
    <xf numFmtId="4" fontId="9" fillId="7" borderId="1" xfId="0" applyNumberFormat="1" applyFont="1" applyFill="1" applyBorder="1" applyAlignment="1">
      <alignment horizontal="center" vertical="center"/>
    </xf>
    <xf numFmtId="14" fontId="14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4" fontId="9" fillId="8" borderId="1" xfId="0" applyNumberFormat="1" applyFont="1" applyFill="1" applyBorder="1" applyAlignment="1">
      <alignment horizontal="center" vertical="center"/>
    </xf>
    <xf numFmtId="14" fontId="9" fillId="6" borderId="1" xfId="0" applyNumberFormat="1" applyFont="1" applyFill="1" applyBorder="1" applyAlignment="1">
      <alignment horizontal="center" vertical="center"/>
    </xf>
    <xf numFmtId="14" fontId="9" fillId="6" borderId="1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14" fontId="9" fillId="7" borderId="1" xfId="0" applyNumberFormat="1" applyFont="1" applyFill="1" applyBorder="1" applyAlignment="1">
      <alignment horizontal="center" vertical="center"/>
    </xf>
    <xf numFmtId="0" fontId="9" fillId="7" borderId="1" xfId="0" applyNumberFormat="1" applyFont="1" applyFill="1" applyBorder="1" applyAlignment="1">
      <alignment horizontal="center" vertical="center" wrapText="1"/>
    </xf>
    <xf numFmtId="14" fontId="9" fillId="7" borderId="2" xfId="0" applyNumberFormat="1" applyFont="1" applyFill="1" applyBorder="1" applyAlignment="1">
      <alignment horizontal="center" vertical="center" wrapText="1"/>
    </xf>
    <xf numFmtId="14" fontId="9" fillId="7" borderId="0" xfId="0" applyNumberFormat="1" applyFont="1" applyFill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14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2" fontId="14" fillId="5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 wrapText="1"/>
    </xf>
    <xf numFmtId="2" fontId="14" fillId="6" borderId="1" xfId="0" applyNumberFormat="1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left" vertical="center" wrapText="1"/>
    </xf>
    <xf numFmtId="14" fontId="9" fillId="3" borderId="0" xfId="0" applyNumberFormat="1" applyFont="1" applyFill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4" fontId="14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vertical="center" wrapText="1"/>
    </xf>
    <xf numFmtId="14" fontId="14" fillId="6" borderId="12" xfId="0" applyNumberFormat="1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4" fontId="16" fillId="0" borderId="1" xfId="0" applyNumberFormat="1" applyFont="1" applyBorder="1" applyAlignment="1">
      <alignment horizontal="center"/>
    </xf>
    <xf numFmtId="14" fontId="9" fillId="6" borderId="1" xfId="0" applyNumberFormat="1" applyFont="1" applyFill="1" applyBorder="1" applyAlignment="1">
      <alignment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14" fontId="9" fillId="6" borderId="12" xfId="0" applyNumberFormat="1" applyFont="1" applyFill="1" applyBorder="1" applyAlignment="1">
      <alignment horizontal="center" vertical="center" wrapText="1"/>
    </xf>
    <xf numFmtId="4" fontId="9" fillId="6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/>
    <xf numFmtId="4" fontId="9" fillId="7" borderId="1" xfId="0" applyNumberFormat="1" applyFont="1" applyFill="1" applyBorder="1" applyAlignment="1">
      <alignment horizontal="center" vertical="center" wrapText="1"/>
    </xf>
    <xf numFmtId="4" fontId="14" fillId="7" borderId="1" xfId="0" applyNumberFormat="1" applyFont="1" applyFill="1" applyBorder="1" applyAlignment="1">
      <alignment horizontal="center" vertical="center" wrapText="1"/>
    </xf>
    <xf numFmtId="14" fontId="14" fillId="7" borderId="2" xfId="0" applyNumberFormat="1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7" fillId="7" borderId="1" xfId="0" applyNumberFormat="1" applyFont="1" applyFill="1" applyBorder="1" applyAlignment="1">
      <alignment horizontal="center" vertical="center" wrapText="1"/>
    </xf>
    <xf numFmtId="4" fontId="9" fillId="7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14" fontId="14" fillId="3" borderId="2" xfId="0" applyNumberFormat="1" applyFont="1" applyFill="1" applyBorder="1" applyAlignment="1">
      <alignment horizontal="center" vertical="center" wrapText="1"/>
    </xf>
    <xf numFmtId="0" fontId="17" fillId="3" borderId="3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left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14" fontId="14" fillId="6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/>
    </xf>
    <xf numFmtId="14" fontId="14" fillId="6" borderId="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center" wrapText="1"/>
    </xf>
    <xf numFmtId="2" fontId="14" fillId="6" borderId="2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23" fillId="8" borderId="0" xfId="0" applyFont="1" applyFill="1" applyBorder="1"/>
    <xf numFmtId="0" fontId="24" fillId="8" borderId="0" xfId="0" applyFont="1" applyFill="1" applyBorder="1"/>
    <xf numFmtId="0" fontId="5" fillId="2" borderId="4" xfId="0" applyFont="1" applyFill="1" applyBorder="1" applyAlignment="1">
      <alignment horizontal="left" wrapText="1"/>
    </xf>
    <xf numFmtId="4" fontId="5" fillId="2" borderId="1" xfId="0" applyNumberFormat="1" applyFont="1" applyFill="1" applyBorder="1"/>
    <xf numFmtId="4" fontId="5" fillId="2" borderId="4" xfId="0" applyNumberFormat="1" applyFont="1" applyFill="1" applyBorder="1"/>
    <xf numFmtId="4" fontId="5" fillId="2" borderId="4" xfId="0" applyNumberFormat="1" applyFont="1" applyFill="1" applyBorder="1" applyAlignment="1">
      <alignment horizontal="center"/>
    </xf>
    <xf numFmtId="4" fontId="5" fillId="2" borderId="2" xfId="0" applyNumberFormat="1" applyFont="1" applyFill="1" applyBorder="1"/>
    <xf numFmtId="0" fontId="5" fillId="2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4" fontId="5" fillId="2" borderId="1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0" fontId="19" fillId="8" borderId="0" xfId="0" applyFont="1" applyFill="1" applyBorder="1"/>
    <xf numFmtId="0" fontId="25" fillId="8" borderId="0" xfId="0" applyFont="1" applyFill="1" applyBorder="1"/>
    <xf numFmtId="4" fontId="5" fillId="8" borderId="1" xfId="0" applyNumberFormat="1" applyFont="1" applyFill="1" applyBorder="1" applyAlignment="1">
      <alignment horizontal="right" vertical="center"/>
    </xf>
    <xf numFmtId="0" fontId="29" fillId="0" borderId="0" xfId="0" applyFont="1"/>
    <xf numFmtId="0" fontId="5" fillId="8" borderId="1" xfId="0" applyFont="1" applyFill="1" applyBorder="1"/>
    <xf numFmtId="2" fontId="20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wrapText="1"/>
    </xf>
    <xf numFmtId="4" fontId="5" fillId="8" borderId="1" xfId="0" applyNumberFormat="1" applyFont="1" applyFill="1" applyBorder="1" applyAlignment="1">
      <alignment horizontal="right"/>
    </xf>
    <xf numFmtId="0" fontId="5" fillId="8" borderId="0" xfId="0" applyFont="1" applyFill="1" applyBorder="1"/>
    <xf numFmtId="0" fontId="5" fillId="8" borderId="1" xfId="0" applyFont="1" applyFill="1" applyBorder="1" applyAlignment="1">
      <alignment vertical="center"/>
    </xf>
    <xf numFmtId="4" fontId="5" fillId="8" borderId="1" xfId="0" applyNumberFormat="1" applyFont="1" applyFill="1" applyBorder="1"/>
    <xf numFmtId="4" fontId="2" fillId="8" borderId="1" xfId="0" applyNumberFormat="1" applyFont="1" applyFill="1" applyBorder="1"/>
    <xf numFmtId="0" fontId="19" fillId="8" borderId="1" xfId="0" applyFont="1" applyFill="1" applyBorder="1" applyAlignment="1">
      <alignment horizontal="left" vertical="center" wrapText="1"/>
    </xf>
    <xf numFmtId="4" fontId="5" fillId="8" borderId="1" xfId="0" applyNumberFormat="1" applyFont="1" applyFill="1" applyBorder="1" applyAlignment="1">
      <alignment horizontal="right" vertical="center" wrapText="1"/>
    </xf>
    <xf numFmtId="2" fontId="5" fillId="8" borderId="1" xfId="0" applyNumberFormat="1" applyFont="1" applyFill="1" applyBorder="1" applyAlignment="1">
      <alignment horizontal="right" vertical="center" wrapText="1"/>
    </xf>
    <xf numFmtId="4" fontId="19" fillId="8" borderId="1" xfId="0" applyNumberFormat="1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center"/>
    </xf>
    <xf numFmtId="4" fontId="20" fillId="2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2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" fontId="5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center" vertical="center"/>
    </xf>
    <xf numFmtId="4" fontId="19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/>
    <xf numFmtId="0" fontId="5" fillId="8" borderId="1" xfId="0" applyFont="1" applyFill="1" applyBorder="1" applyAlignment="1"/>
    <xf numFmtId="0" fontId="0" fillId="8" borderId="1" xfId="0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2" fontId="19" fillId="8" borderId="1" xfId="0" applyNumberFormat="1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4" fontId="5" fillId="8" borderId="1" xfId="0" applyNumberFormat="1" applyFont="1" applyFill="1" applyBorder="1" applyAlignment="1">
      <alignment horizontal="center" vertical="center"/>
    </xf>
    <xf numFmtId="4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4" fontId="5" fillId="8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19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/>
    </xf>
    <xf numFmtId="4" fontId="19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/>
    <xf numFmtId="0" fontId="19" fillId="8" borderId="1" xfId="0" applyFont="1" applyFill="1" applyBorder="1" applyAlignment="1">
      <alignment horizontal="center" vertical="center" wrapText="1"/>
    </xf>
    <xf numFmtId="2" fontId="19" fillId="8" borderId="1" xfId="0" applyNumberFormat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/>
    </xf>
    <xf numFmtId="4" fontId="19" fillId="8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14" fontId="19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14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/>
    <xf numFmtId="0" fontId="0" fillId="8" borderId="1" xfId="0" applyFill="1" applyBorder="1" applyAlignment="1"/>
    <xf numFmtId="4" fontId="25" fillId="8" borderId="1" xfId="0" applyNumberFormat="1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 wrapText="1"/>
    </xf>
    <xf numFmtId="4" fontId="0" fillId="8" borderId="1" xfId="0" applyNumberForma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14" fontId="5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5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8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5" fillId="8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2" fontId="19" fillId="2" borderId="2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19" fillId="2" borderId="2" xfId="0" applyNumberFormat="1" applyFont="1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/>
    <xf numFmtId="4" fontId="0" fillId="2" borderId="1" xfId="0" applyNumberFormat="1" applyFill="1" applyBorder="1" applyAlignment="1"/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4" fontId="5" fillId="2" borderId="2" xfId="0" applyNumberFormat="1" applyFont="1" applyFill="1" applyBorder="1" applyAlignment="1"/>
    <xf numFmtId="4" fontId="0" fillId="2" borderId="4" xfId="0" applyNumberFormat="1" applyFill="1" applyBorder="1" applyAlignment="1"/>
    <xf numFmtId="4" fontId="5" fillId="2" borderId="2" xfId="0" applyNumberFormat="1" applyFon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0" fillId="2" borderId="3" xfId="0" applyNumberFormat="1" applyFill="1" applyBorder="1" applyAlignment="1"/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2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0" fillId="2" borderId="1" xfId="0" applyFill="1" applyBorder="1" applyAlignment="1"/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/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0" xfId="0" applyFont="1" applyBorder="1"/>
    <xf numFmtId="0" fontId="11" fillId="0" borderId="24" xfId="0" applyFont="1" applyBorder="1" applyAlignment="1">
      <alignment horizontal="center" vertical="center" wrapText="1"/>
    </xf>
    <xf numFmtId="0" fontId="11" fillId="0" borderId="31" xfId="0" applyFont="1" applyBorder="1"/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14" fontId="9" fillId="7" borderId="2" xfId="0" applyNumberFormat="1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17" fontId="9" fillId="7" borderId="2" xfId="0" applyNumberFormat="1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14" fontId="9" fillId="6" borderId="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4" fontId="14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0" xfId="0" applyBorder="1"/>
    <xf numFmtId="0" fontId="0" fillId="0" borderId="0" xfId="0" applyFill="1" applyBorder="1"/>
    <xf numFmtId="0" fontId="0" fillId="8" borderId="0" xfId="0" applyFill="1" applyBorder="1"/>
    <xf numFmtId="0" fontId="5" fillId="8" borderId="0" xfId="0" applyFont="1" applyFill="1" applyBorder="1" applyAlignment="1">
      <alignment vertical="center"/>
    </xf>
    <xf numFmtId="0" fontId="5" fillId="0" borderId="0" xfId="0" applyFont="1" applyFill="1" applyBorder="1"/>
    <xf numFmtId="0" fontId="24" fillId="8" borderId="1" xfId="0" applyFont="1" applyFill="1" applyBorder="1"/>
    <xf numFmtId="0" fontId="0" fillId="0" borderId="1" xfId="0" applyFill="1" applyBorder="1"/>
    <xf numFmtId="0" fontId="23" fillId="8" borderId="1" xfId="0" applyFont="1" applyFill="1" applyBorder="1"/>
    <xf numFmtId="0" fontId="0" fillId="8" borderId="1" xfId="0" applyFill="1" applyBorder="1"/>
    <xf numFmtId="0" fontId="25" fillId="8" borderId="1" xfId="0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4" fontId="26" fillId="8" borderId="1" xfId="0" applyNumberFormat="1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/>
    </xf>
    <xf numFmtId="4" fontId="26" fillId="8" borderId="1" xfId="0" applyNumberFormat="1" applyFont="1" applyFill="1" applyBorder="1" applyAlignment="1">
      <alignment horizontal="center"/>
    </xf>
    <xf numFmtId="0" fontId="28" fillId="8" borderId="1" xfId="0" applyFont="1" applyFill="1" applyBorder="1" applyAlignment="1">
      <alignment horizontal="center"/>
    </xf>
    <xf numFmtId="0" fontId="19" fillId="8" borderId="1" xfId="0" applyFont="1" applyFill="1" applyBorder="1"/>
    <xf numFmtId="0" fontId="25" fillId="8" borderId="1" xfId="0" applyFont="1" applyFill="1" applyBorder="1" applyAlignment="1"/>
    <xf numFmtId="0" fontId="5" fillId="0" borderId="1" xfId="0" applyFont="1" applyFill="1" applyBorder="1"/>
    <xf numFmtId="0" fontId="19" fillId="0" borderId="1" xfId="0" applyFont="1" applyFill="1" applyBorder="1"/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4" fontId="25" fillId="8" borderId="1" xfId="0" applyNumberFormat="1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right" vertical="center"/>
    </xf>
    <xf numFmtId="0" fontId="0" fillId="8" borderId="1" xfId="0" applyFill="1" applyBorder="1" applyAlignment="1">
      <alignment horizontal="left" vertical="center" wrapText="1"/>
    </xf>
    <xf numFmtId="4" fontId="0" fillId="8" borderId="1" xfId="0" applyNumberFormat="1" applyFill="1" applyBorder="1" applyAlignment="1">
      <alignment horizontal="right" vertical="center"/>
    </xf>
    <xf numFmtId="4" fontId="5" fillId="8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textRotation="90"/>
    </xf>
    <xf numFmtId="0" fontId="20" fillId="8" borderId="1" xfId="0" applyFont="1" applyFill="1" applyBorder="1" applyAlignment="1">
      <alignment horizontal="left" vertical="center"/>
    </xf>
    <xf numFmtId="0" fontId="0" fillId="8" borderId="1" xfId="0" applyFill="1" applyBorder="1" applyAlignment="1">
      <alignment horizontal="left"/>
    </xf>
    <xf numFmtId="4" fontId="5" fillId="8" borderId="1" xfId="0" applyNumberFormat="1" applyFont="1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11" fillId="8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/>
    </xf>
    <xf numFmtId="17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vertical="center"/>
    </xf>
    <xf numFmtId="0" fontId="5" fillId="8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2" fillId="8" borderId="1" xfId="0" applyFont="1" applyFill="1" applyBorder="1" applyAlignment="1">
      <alignment horizontal="left" vertical="center" wrapText="1"/>
    </xf>
    <xf numFmtId="2" fontId="5" fillId="8" borderId="1" xfId="0" applyNumberFormat="1" applyFont="1" applyFill="1" applyBorder="1" applyAlignment="1">
      <alignment horizontal="right"/>
    </xf>
    <xf numFmtId="0" fontId="0" fillId="8" borderId="1" xfId="0" applyFill="1" applyBorder="1" applyAlignment="1">
      <alignment horizontal="center" vertical="center" textRotation="90"/>
    </xf>
    <xf numFmtId="0" fontId="21" fillId="8" borderId="1" xfId="0" applyNumberFormat="1" applyFont="1" applyFill="1" applyBorder="1" applyAlignment="1">
      <alignment horizontal="center" vertical="center" wrapText="1"/>
    </xf>
    <xf numFmtId="4" fontId="0" fillId="8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zoomScale="85" zoomScaleNormal="85" workbookViewId="0">
      <selection activeCell="AF8" sqref="AF8"/>
    </sheetView>
  </sheetViews>
  <sheetFormatPr defaultRowHeight="14.4" x14ac:dyDescent="0.3"/>
  <cols>
    <col min="1" max="1" width="3.88671875" style="7" customWidth="1"/>
    <col min="2" max="2" width="16.5546875" style="7" customWidth="1"/>
    <col min="3" max="3" width="14.88671875" style="7" customWidth="1"/>
    <col min="4" max="4" width="10.6640625" style="7" customWidth="1"/>
    <col min="5" max="5" width="12.6640625" style="7" customWidth="1"/>
    <col min="6" max="6" width="10" style="7" customWidth="1"/>
    <col min="7" max="7" width="13.33203125" style="7" customWidth="1"/>
    <col min="8" max="8" width="7.44140625" style="7" customWidth="1"/>
    <col min="9" max="10" width="8" style="7" customWidth="1"/>
    <col min="11" max="11" width="6.33203125" style="7" customWidth="1"/>
    <col min="12" max="12" width="4.6640625" style="7" customWidth="1"/>
    <col min="13" max="13" width="5.44140625" style="7" customWidth="1"/>
    <col min="14" max="14" width="10.33203125" style="7" customWidth="1"/>
    <col min="15" max="15" width="11.5546875" style="7" customWidth="1"/>
    <col min="16" max="16" width="6.44140625" style="7" customWidth="1"/>
    <col min="17" max="17" width="9.44140625" style="7" customWidth="1"/>
    <col min="18" max="18" width="5.88671875" style="7" customWidth="1"/>
    <col min="19" max="19" width="10.44140625" style="7" customWidth="1"/>
    <col min="20" max="20" width="10" style="7" customWidth="1"/>
    <col min="21" max="21" width="5.6640625" style="7" customWidth="1"/>
    <col min="22" max="22" width="7.44140625" style="7" customWidth="1"/>
    <col min="23" max="23" width="9.6640625" style="7" customWidth="1"/>
    <col min="24" max="24" width="5.88671875" style="7" customWidth="1"/>
    <col min="25" max="25" width="8" style="7" customWidth="1"/>
    <col min="26" max="26" width="10.88671875" style="7" customWidth="1"/>
    <col min="27" max="27" width="10.44140625" style="7" customWidth="1"/>
    <col min="28" max="28" width="9.109375" style="7" customWidth="1"/>
    <col min="29" max="29" width="7.6640625" style="7" customWidth="1"/>
    <col min="30" max="34" width="9.109375" style="1"/>
  </cols>
  <sheetData>
    <row r="1" spans="1:34" x14ac:dyDescent="0.3">
      <c r="Z1" s="7" t="s">
        <v>74</v>
      </c>
    </row>
    <row r="2" spans="1:34" x14ac:dyDescent="0.3">
      <c r="Z2" s="7" t="s">
        <v>34</v>
      </c>
    </row>
    <row r="3" spans="1:34" x14ac:dyDescent="0.3">
      <c r="Z3" s="7" t="s">
        <v>86</v>
      </c>
    </row>
    <row r="5" spans="1:34" x14ac:dyDescent="0.3">
      <c r="Z5" s="7" t="s">
        <v>73</v>
      </c>
    </row>
    <row r="6" spans="1:34" x14ac:dyDescent="0.3">
      <c r="Z6" s="7" t="s">
        <v>34</v>
      </c>
    </row>
    <row r="7" spans="1:34" x14ac:dyDescent="0.3">
      <c r="Z7" s="7" t="s">
        <v>75</v>
      </c>
    </row>
    <row r="8" spans="1:34" x14ac:dyDescent="0.3">
      <c r="B8" s="7" t="s">
        <v>65</v>
      </c>
      <c r="AB8" s="7" t="s">
        <v>33</v>
      </c>
    </row>
    <row r="9" spans="1:34" s="3" customFormat="1" ht="36.75" customHeight="1" x14ac:dyDescent="0.3">
      <c r="A9" s="214" t="s">
        <v>0</v>
      </c>
      <c r="B9" s="214" t="s">
        <v>1</v>
      </c>
      <c r="C9" s="214" t="s">
        <v>2</v>
      </c>
      <c r="D9" s="214" t="s">
        <v>12</v>
      </c>
      <c r="E9" s="214" t="s">
        <v>13</v>
      </c>
      <c r="F9" s="215" t="s">
        <v>15</v>
      </c>
      <c r="G9" s="214" t="s">
        <v>3</v>
      </c>
      <c r="H9" s="214" t="s">
        <v>38</v>
      </c>
      <c r="I9" s="214" t="s">
        <v>4</v>
      </c>
      <c r="J9" s="214" t="s">
        <v>6</v>
      </c>
      <c r="K9" s="225" t="s">
        <v>8</v>
      </c>
      <c r="L9" s="226"/>
      <c r="M9" s="222" t="s">
        <v>57</v>
      </c>
      <c r="N9" s="223"/>
      <c r="O9" s="224"/>
      <c r="P9" s="215" t="s">
        <v>58</v>
      </c>
      <c r="Q9" s="214" t="s">
        <v>5</v>
      </c>
      <c r="R9" s="225" t="s">
        <v>10</v>
      </c>
      <c r="S9" s="229"/>
      <c r="T9" s="226"/>
      <c r="U9" s="225" t="s">
        <v>9</v>
      </c>
      <c r="V9" s="229"/>
      <c r="W9" s="226"/>
      <c r="X9" s="214" t="s">
        <v>56</v>
      </c>
      <c r="Y9" s="214"/>
      <c r="Z9" s="214"/>
      <c r="AA9" s="215" t="s">
        <v>35</v>
      </c>
      <c r="AB9" s="214" t="s">
        <v>19</v>
      </c>
      <c r="AC9" s="214" t="s">
        <v>17</v>
      </c>
      <c r="AD9" s="2"/>
      <c r="AE9" s="2"/>
      <c r="AF9" s="2"/>
      <c r="AG9" s="2"/>
      <c r="AH9" s="2"/>
    </row>
    <row r="10" spans="1:34" s="3" customFormat="1" ht="15" customHeight="1" x14ac:dyDescent="0.3">
      <c r="A10" s="214"/>
      <c r="B10" s="214"/>
      <c r="C10" s="214"/>
      <c r="D10" s="214"/>
      <c r="E10" s="214"/>
      <c r="F10" s="216"/>
      <c r="G10" s="214"/>
      <c r="H10" s="214"/>
      <c r="I10" s="214"/>
      <c r="J10" s="214"/>
      <c r="K10" s="227"/>
      <c r="L10" s="228"/>
      <c r="M10" s="225" t="s">
        <v>62</v>
      </c>
      <c r="N10" s="222" t="s">
        <v>53</v>
      </c>
      <c r="O10" s="224"/>
      <c r="P10" s="216"/>
      <c r="Q10" s="214"/>
      <c r="R10" s="215" t="s">
        <v>63</v>
      </c>
      <c r="S10" s="222" t="s">
        <v>53</v>
      </c>
      <c r="T10" s="224"/>
      <c r="U10" s="215" t="s">
        <v>79</v>
      </c>
      <c r="V10" s="222" t="s">
        <v>53</v>
      </c>
      <c r="W10" s="224"/>
      <c r="X10" s="225" t="s">
        <v>80</v>
      </c>
      <c r="Y10" s="222" t="s">
        <v>53</v>
      </c>
      <c r="Z10" s="224"/>
      <c r="AA10" s="216"/>
      <c r="AB10" s="214"/>
      <c r="AC10" s="214"/>
      <c r="AD10" s="2"/>
      <c r="AE10" s="2"/>
      <c r="AF10" s="2"/>
      <c r="AG10" s="2"/>
      <c r="AH10" s="2"/>
    </row>
    <row r="11" spans="1:34" s="6" customFormat="1" ht="106.8" x14ac:dyDescent="0.3">
      <c r="A11" s="214"/>
      <c r="B11" s="214"/>
      <c r="C11" s="214"/>
      <c r="D11" s="214"/>
      <c r="E11" s="214"/>
      <c r="F11" s="217"/>
      <c r="G11" s="214"/>
      <c r="H11" s="214"/>
      <c r="I11" s="214"/>
      <c r="J11" s="214"/>
      <c r="K11" s="5" t="s">
        <v>7</v>
      </c>
      <c r="L11" s="5" t="s">
        <v>26</v>
      </c>
      <c r="M11" s="227"/>
      <c r="N11" s="5" t="s">
        <v>54</v>
      </c>
      <c r="O11" s="5" t="s">
        <v>59</v>
      </c>
      <c r="P11" s="217"/>
      <c r="Q11" s="214"/>
      <c r="R11" s="217"/>
      <c r="S11" s="5" t="s">
        <v>55</v>
      </c>
      <c r="T11" s="32" t="s">
        <v>61</v>
      </c>
      <c r="U11" s="217"/>
      <c r="V11" s="5" t="s">
        <v>81</v>
      </c>
      <c r="W11" s="5" t="s">
        <v>60</v>
      </c>
      <c r="X11" s="227"/>
      <c r="Y11" s="5" t="s">
        <v>84</v>
      </c>
      <c r="Z11" s="5" t="s">
        <v>85</v>
      </c>
      <c r="AA11" s="217"/>
      <c r="AB11" s="214"/>
      <c r="AC11" s="214"/>
    </row>
    <row r="12" spans="1:34" ht="15" thickBot="1" x14ac:dyDescent="0.3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  <c r="Q12" s="8">
        <v>17</v>
      </c>
      <c r="R12" s="8">
        <v>18</v>
      </c>
      <c r="S12" s="8">
        <v>19</v>
      </c>
      <c r="T12" s="8">
        <v>20</v>
      </c>
      <c r="U12" s="8">
        <v>21</v>
      </c>
      <c r="V12" s="8">
        <v>22</v>
      </c>
      <c r="W12" s="8">
        <v>23</v>
      </c>
      <c r="X12" s="8">
        <v>24</v>
      </c>
      <c r="Y12" s="8">
        <v>25</v>
      </c>
      <c r="Z12" s="8">
        <v>26</v>
      </c>
      <c r="AA12" s="8">
        <v>27</v>
      </c>
      <c r="AB12" s="8">
        <v>28</v>
      </c>
      <c r="AC12" s="8">
        <v>29</v>
      </c>
    </row>
    <row r="13" spans="1:34" ht="15" thickTop="1" x14ac:dyDescent="0.3">
      <c r="A13" s="220" t="s">
        <v>47</v>
      </c>
      <c r="B13" s="220"/>
      <c r="C13" s="220"/>
      <c r="D13" s="220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11" t="s">
        <v>21</v>
      </c>
      <c r="R13" s="11"/>
      <c r="S13" s="11"/>
      <c r="T13" s="11"/>
      <c r="U13" s="11"/>
      <c r="V13" s="11"/>
      <c r="W13" s="11"/>
      <c r="X13" s="11"/>
      <c r="Y13" s="11"/>
      <c r="Z13" s="11"/>
      <c r="AA13" s="220" t="s">
        <v>64</v>
      </c>
      <c r="AB13" s="220" t="s">
        <v>64</v>
      </c>
      <c r="AC13" s="220" t="s">
        <v>64</v>
      </c>
    </row>
    <row r="14" spans="1:34" x14ac:dyDescent="0.3">
      <c r="A14" s="220"/>
      <c r="B14" s="220"/>
      <c r="C14" s="220"/>
      <c r="D14" s="220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11" t="s">
        <v>22</v>
      </c>
      <c r="R14" s="11"/>
      <c r="S14" s="11"/>
      <c r="T14" s="11"/>
      <c r="U14" s="11"/>
      <c r="V14" s="11"/>
      <c r="W14" s="11"/>
      <c r="X14" s="11"/>
      <c r="Y14" s="11"/>
      <c r="Z14" s="11"/>
      <c r="AA14" s="220"/>
      <c r="AB14" s="220"/>
      <c r="AC14" s="220"/>
    </row>
    <row r="15" spans="1:34" x14ac:dyDescent="0.3">
      <c r="A15" s="220"/>
      <c r="B15" s="220"/>
      <c r="C15" s="220"/>
      <c r="D15" s="220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11" t="s">
        <v>23</v>
      </c>
      <c r="R15" s="11"/>
      <c r="S15" s="11"/>
      <c r="T15" s="11"/>
      <c r="U15" s="11"/>
      <c r="V15" s="11"/>
      <c r="W15" s="11"/>
      <c r="X15" s="11"/>
      <c r="Y15" s="11"/>
      <c r="Z15" s="11"/>
      <c r="AA15" s="220"/>
      <c r="AB15" s="220"/>
      <c r="AC15" s="220"/>
    </row>
    <row r="16" spans="1:34" x14ac:dyDescent="0.3">
      <c r="A16" s="220"/>
      <c r="B16" s="220"/>
      <c r="C16" s="220"/>
      <c r="D16" s="220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11" t="s">
        <v>24</v>
      </c>
      <c r="R16" s="11"/>
      <c r="S16" s="11"/>
      <c r="T16" s="11"/>
      <c r="U16" s="11"/>
      <c r="V16" s="11"/>
      <c r="W16" s="11"/>
      <c r="X16" s="11"/>
      <c r="Y16" s="11"/>
      <c r="Z16" s="11"/>
      <c r="AA16" s="220"/>
      <c r="AB16" s="220"/>
      <c r="AC16" s="220"/>
    </row>
    <row r="17" spans="1:29" x14ac:dyDescent="0.3">
      <c r="A17" s="221"/>
      <c r="B17" s="221"/>
      <c r="C17" s="221"/>
      <c r="D17" s="221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11" t="s">
        <v>50</v>
      </c>
      <c r="R17" s="11"/>
      <c r="S17" s="11"/>
      <c r="T17" s="11"/>
      <c r="U17" s="11"/>
      <c r="V17" s="11"/>
      <c r="W17" s="11"/>
      <c r="X17" s="11"/>
      <c r="Y17" s="11"/>
      <c r="Z17" s="11"/>
      <c r="AA17" s="221"/>
      <c r="AB17" s="221"/>
      <c r="AC17" s="221"/>
    </row>
    <row r="18" spans="1:29" x14ac:dyDescent="0.3">
      <c r="A18" s="231" t="s">
        <v>30</v>
      </c>
      <c r="B18" s="231"/>
      <c r="C18" s="231"/>
      <c r="D18" s="231"/>
      <c r="E18" s="230"/>
      <c r="F18" s="230"/>
      <c r="G18" s="230"/>
      <c r="H18" s="230"/>
      <c r="I18" s="230"/>
      <c r="J18" s="230"/>
      <c r="K18" s="230"/>
      <c r="L18" s="230"/>
      <c r="M18" s="218"/>
      <c r="N18" s="218"/>
      <c r="O18" s="218"/>
      <c r="P18" s="230"/>
      <c r="Q18" s="11" t="s">
        <v>21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3">
      <c r="A19" s="220"/>
      <c r="B19" s="220"/>
      <c r="C19" s="220"/>
      <c r="D19" s="220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11" t="s">
        <v>22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3">
      <c r="A20" s="220"/>
      <c r="B20" s="220"/>
      <c r="C20" s="220"/>
      <c r="D20" s="220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11" t="s">
        <v>23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3">
      <c r="A21" s="220"/>
      <c r="B21" s="220"/>
      <c r="C21" s="220"/>
      <c r="D21" s="220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11" t="s">
        <v>24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3">
      <c r="A22" s="221"/>
      <c r="B22" s="221"/>
      <c r="C22" s="221"/>
      <c r="D22" s="221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11" t="s">
        <v>25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3">
      <c r="A23" s="231"/>
      <c r="B23" s="231" t="s">
        <v>28</v>
      </c>
      <c r="C23" s="231"/>
      <c r="D23" s="231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11" t="s">
        <v>21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3">
      <c r="A24" s="220"/>
      <c r="B24" s="220"/>
      <c r="C24" s="220"/>
      <c r="D24" s="220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11" t="s">
        <v>22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3">
      <c r="A25" s="220"/>
      <c r="B25" s="220"/>
      <c r="C25" s="220"/>
      <c r="D25" s="220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11" t="s">
        <v>23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3">
      <c r="A26" s="220"/>
      <c r="B26" s="220"/>
      <c r="C26" s="220"/>
      <c r="D26" s="220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11" t="s">
        <v>24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5" thickBot="1" x14ac:dyDescent="0.35">
      <c r="A27" s="220"/>
      <c r="B27" s="221"/>
      <c r="C27" s="220"/>
      <c r="D27" s="220"/>
      <c r="E27" s="218"/>
      <c r="F27" s="218"/>
      <c r="G27" s="218"/>
      <c r="H27" s="218"/>
      <c r="I27" s="218"/>
      <c r="J27" s="218"/>
      <c r="K27" s="218"/>
      <c r="L27" s="218"/>
      <c r="M27" s="234"/>
      <c r="N27" s="234"/>
      <c r="O27" s="234"/>
      <c r="P27" s="234"/>
      <c r="Q27" s="16" t="s">
        <v>25</v>
      </c>
      <c r="R27" s="11"/>
      <c r="S27" s="11"/>
      <c r="T27" s="11"/>
      <c r="U27" s="11"/>
      <c r="V27" s="11"/>
      <c r="W27" s="11"/>
      <c r="X27" s="11"/>
      <c r="Y27" s="11"/>
      <c r="Z27" s="11"/>
      <c r="AA27" s="14"/>
      <c r="AB27" s="14"/>
      <c r="AC27" s="14"/>
    </row>
    <row r="28" spans="1:29" ht="15" thickTop="1" x14ac:dyDescent="0.3">
      <c r="A28" s="233" t="s">
        <v>27</v>
      </c>
      <c r="B28" s="233"/>
      <c r="C28" s="233"/>
      <c r="D28" s="233"/>
      <c r="E28" s="232"/>
      <c r="F28" s="232"/>
      <c r="G28" s="232"/>
      <c r="H28" s="232"/>
      <c r="I28" s="232"/>
      <c r="J28" s="232"/>
      <c r="K28" s="232"/>
      <c r="L28" s="232"/>
      <c r="M28" s="9"/>
      <c r="N28" s="9"/>
      <c r="O28" s="9"/>
      <c r="P28" s="9"/>
      <c r="Q28" s="11" t="s">
        <v>21</v>
      </c>
      <c r="R28" s="15"/>
      <c r="S28" s="15"/>
      <c r="T28" s="15"/>
      <c r="U28" s="15"/>
      <c r="V28" s="15"/>
      <c r="W28" s="15"/>
      <c r="X28" s="15"/>
      <c r="Y28" s="15"/>
      <c r="Z28" s="15"/>
      <c r="AA28" s="220" t="s">
        <v>64</v>
      </c>
      <c r="AB28" s="220" t="s">
        <v>64</v>
      </c>
      <c r="AC28" s="220" t="s">
        <v>64</v>
      </c>
    </row>
    <row r="29" spans="1:29" x14ac:dyDescent="0.3">
      <c r="A29" s="220"/>
      <c r="B29" s="220"/>
      <c r="C29" s="220"/>
      <c r="D29" s="220"/>
      <c r="E29" s="218"/>
      <c r="F29" s="218"/>
      <c r="G29" s="218"/>
      <c r="H29" s="218"/>
      <c r="I29" s="218"/>
      <c r="J29" s="218"/>
      <c r="K29" s="218"/>
      <c r="L29" s="218"/>
      <c r="M29" s="9"/>
      <c r="N29" s="9"/>
      <c r="O29" s="9"/>
      <c r="P29" s="9"/>
      <c r="Q29" s="11" t="s">
        <v>22</v>
      </c>
      <c r="R29" s="11"/>
      <c r="S29" s="11"/>
      <c r="T29" s="11"/>
      <c r="U29" s="11"/>
      <c r="V29" s="11"/>
      <c r="W29" s="11"/>
      <c r="X29" s="11"/>
      <c r="Y29" s="11"/>
      <c r="Z29" s="11"/>
      <c r="AA29" s="220"/>
      <c r="AB29" s="220"/>
      <c r="AC29" s="220"/>
    </row>
    <row r="30" spans="1:29" x14ac:dyDescent="0.3">
      <c r="A30" s="220"/>
      <c r="B30" s="220"/>
      <c r="C30" s="220"/>
      <c r="D30" s="220"/>
      <c r="E30" s="218"/>
      <c r="F30" s="218"/>
      <c r="G30" s="218"/>
      <c r="H30" s="218"/>
      <c r="I30" s="218"/>
      <c r="J30" s="218"/>
      <c r="K30" s="218"/>
      <c r="L30" s="218"/>
      <c r="M30" s="9"/>
      <c r="N30" s="9"/>
      <c r="O30" s="9"/>
      <c r="P30" s="9"/>
      <c r="Q30" s="11" t="s">
        <v>23</v>
      </c>
      <c r="R30" s="11"/>
      <c r="S30" s="11"/>
      <c r="T30" s="11"/>
      <c r="U30" s="11"/>
      <c r="V30" s="11"/>
      <c r="W30" s="11"/>
      <c r="X30" s="11"/>
      <c r="Y30" s="11"/>
      <c r="Z30" s="11"/>
      <c r="AA30" s="220"/>
      <c r="AB30" s="220"/>
      <c r="AC30" s="220"/>
    </row>
    <row r="31" spans="1:29" x14ac:dyDescent="0.3">
      <c r="A31" s="220"/>
      <c r="B31" s="220"/>
      <c r="C31" s="220"/>
      <c r="D31" s="220"/>
      <c r="E31" s="218"/>
      <c r="F31" s="218"/>
      <c r="G31" s="218"/>
      <c r="H31" s="218"/>
      <c r="I31" s="218"/>
      <c r="J31" s="218"/>
      <c r="K31" s="218"/>
      <c r="L31" s="218"/>
      <c r="M31" s="9"/>
      <c r="N31" s="9"/>
      <c r="O31" s="9"/>
      <c r="P31" s="9"/>
      <c r="Q31" s="11" t="s">
        <v>24</v>
      </c>
      <c r="R31" s="11"/>
      <c r="S31" s="11"/>
      <c r="T31" s="11"/>
      <c r="U31" s="11"/>
      <c r="V31" s="11"/>
      <c r="W31" s="11"/>
      <c r="X31" s="11"/>
      <c r="Y31" s="11"/>
      <c r="Z31" s="11"/>
      <c r="AA31" s="220"/>
      <c r="AB31" s="220"/>
      <c r="AC31" s="220"/>
    </row>
    <row r="32" spans="1:29" x14ac:dyDescent="0.3">
      <c r="A32" s="221"/>
      <c r="B32" s="221"/>
      <c r="C32" s="221"/>
      <c r="D32" s="221"/>
      <c r="E32" s="219"/>
      <c r="F32" s="219"/>
      <c r="G32" s="219"/>
      <c r="H32" s="219"/>
      <c r="I32" s="219"/>
      <c r="J32" s="219"/>
      <c r="K32" s="219"/>
      <c r="L32" s="219"/>
      <c r="M32" s="12"/>
      <c r="N32" s="12"/>
      <c r="O32" s="12"/>
      <c r="P32" s="12"/>
      <c r="Q32" s="11" t="s">
        <v>50</v>
      </c>
      <c r="R32" s="11"/>
      <c r="S32" s="11"/>
      <c r="T32" s="11"/>
      <c r="U32" s="11"/>
      <c r="V32" s="11"/>
      <c r="W32" s="11"/>
      <c r="X32" s="11"/>
      <c r="Y32" s="11"/>
      <c r="Z32" s="11"/>
      <c r="AA32" s="221"/>
      <c r="AB32" s="221"/>
      <c r="AC32" s="221"/>
    </row>
    <row r="33" spans="1:29" x14ac:dyDescent="0.3">
      <c r="A33" s="231" t="s">
        <v>31</v>
      </c>
      <c r="B33" s="231"/>
      <c r="C33" s="231"/>
      <c r="D33" s="231"/>
      <c r="E33" s="230"/>
      <c r="F33" s="230"/>
      <c r="G33" s="230"/>
      <c r="H33" s="230"/>
      <c r="I33" s="230"/>
      <c r="J33" s="230"/>
      <c r="K33" s="230"/>
      <c r="L33" s="230"/>
      <c r="M33" s="13"/>
      <c r="N33" s="13"/>
      <c r="O33" s="13"/>
      <c r="P33" s="13"/>
      <c r="Q33" s="11" t="s">
        <v>21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3">
      <c r="A34" s="220"/>
      <c r="B34" s="220"/>
      <c r="C34" s="220"/>
      <c r="D34" s="220"/>
      <c r="E34" s="218"/>
      <c r="F34" s="218"/>
      <c r="G34" s="218"/>
      <c r="H34" s="218"/>
      <c r="I34" s="218"/>
      <c r="J34" s="218"/>
      <c r="K34" s="218"/>
      <c r="L34" s="218"/>
      <c r="M34" s="9"/>
      <c r="N34" s="9"/>
      <c r="O34" s="9"/>
      <c r="P34" s="9"/>
      <c r="Q34" s="11" t="s">
        <v>22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3">
      <c r="A35" s="220"/>
      <c r="B35" s="220"/>
      <c r="C35" s="220"/>
      <c r="D35" s="220"/>
      <c r="E35" s="218"/>
      <c r="F35" s="218"/>
      <c r="G35" s="218"/>
      <c r="H35" s="218"/>
      <c r="I35" s="218"/>
      <c r="J35" s="218"/>
      <c r="K35" s="218"/>
      <c r="L35" s="218"/>
      <c r="M35" s="9"/>
      <c r="N35" s="9"/>
      <c r="O35" s="9"/>
      <c r="P35" s="9"/>
      <c r="Q35" s="11" t="s">
        <v>23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3">
      <c r="A36" s="220"/>
      <c r="B36" s="220"/>
      <c r="C36" s="220"/>
      <c r="D36" s="220"/>
      <c r="E36" s="218"/>
      <c r="F36" s="218"/>
      <c r="G36" s="218"/>
      <c r="H36" s="218"/>
      <c r="I36" s="218"/>
      <c r="J36" s="218"/>
      <c r="K36" s="218"/>
      <c r="L36" s="218"/>
      <c r="M36" s="9"/>
      <c r="N36" s="9"/>
      <c r="O36" s="9"/>
      <c r="P36" s="9"/>
      <c r="Q36" s="11" t="s">
        <v>24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3">
      <c r="A37" s="221"/>
      <c r="B37" s="221"/>
      <c r="C37" s="221"/>
      <c r="D37" s="221"/>
      <c r="E37" s="219"/>
      <c r="F37" s="219"/>
      <c r="G37" s="219"/>
      <c r="H37" s="219"/>
      <c r="I37" s="219"/>
      <c r="J37" s="219"/>
      <c r="K37" s="219"/>
      <c r="L37" s="219"/>
      <c r="M37" s="12"/>
      <c r="N37" s="12"/>
      <c r="O37" s="12"/>
      <c r="P37" s="12"/>
      <c r="Q37" s="11" t="s">
        <v>25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3">
      <c r="A38" s="231"/>
      <c r="B38" s="231" t="s">
        <v>28</v>
      </c>
      <c r="C38" s="231"/>
      <c r="D38" s="231"/>
      <c r="E38" s="230"/>
      <c r="F38" s="230"/>
      <c r="G38" s="230"/>
      <c r="H38" s="230"/>
      <c r="I38" s="230"/>
      <c r="J38" s="230"/>
      <c r="K38" s="230"/>
      <c r="L38" s="230"/>
      <c r="M38" s="13"/>
      <c r="N38" s="13"/>
      <c r="O38" s="13"/>
      <c r="P38" s="13"/>
      <c r="Q38" s="11" t="s">
        <v>21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3">
      <c r="A39" s="220"/>
      <c r="B39" s="220"/>
      <c r="C39" s="220"/>
      <c r="D39" s="220"/>
      <c r="E39" s="218"/>
      <c r="F39" s="218"/>
      <c r="G39" s="218"/>
      <c r="H39" s="218"/>
      <c r="I39" s="218"/>
      <c r="J39" s="218"/>
      <c r="K39" s="218"/>
      <c r="L39" s="218"/>
      <c r="M39" s="9"/>
      <c r="N39" s="9"/>
      <c r="O39" s="9"/>
      <c r="P39" s="9"/>
      <c r="Q39" s="11" t="s">
        <v>22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3">
      <c r="A40" s="220"/>
      <c r="B40" s="220"/>
      <c r="C40" s="220"/>
      <c r="D40" s="220"/>
      <c r="E40" s="218"/>
      <c r="F40" s="218"/>
      <c r="G40" s="218"/>
      <c r="H40" s="218"/>
      <c r="I40" s="218"/>
      <c r="J40" s="218"/>
      <c r="K40" s="218"/>
      <c r="L40" s="218"/>
      <c r="M40" s="9"/>
      <c r="N40" s="9"/>
      <c r="O40" s="9"/>
      <c r="P40" s="9"/>
      <c r="Q40" s="11" t="s">
        <v>23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3">
      <c r="A41" s="220"/>
      <c r="B41" s="220"/>
      <c r="C41" s="220"/>
      <c r="D41" s="220"/>
      <c r="E41" s="218"/>
      <c r="F41" s="218"/>
      <c r="G41" s="218"/>
      <c r="H41" s="218"/>
      <c r="I41" s="218"/>
      <c r="J41" s="218"/>
      <c r="K41" s="218"/>
      <c r="L41" s="218"/>
      <c r="M41" s="9"/>
      <c r="N41" s="9"/>
      <c r="O41" s="9"/>
      <c r="P41" s="9"/>
      <c r="Q41" s="11" t="s">
        <v>24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15" thickBot="1" x14ac:dyDescent="0.35">
      <c r="A42" s="235"/>
      <c r="B42" s="221"/>
      <c r="C42" s="235"/>
      <c r="D42" s="235"/>
      <c r="E42" s="234"/>
      <c r="F42" s="234"/>
      <c r="G42" s="234"/>
      <c r="H42" s="234"/>
      <c r="I42" s="234"/>
      <c r="J42" s="234"/>
      <c r="K42" s="234"/>
      <c r="L42" s="234"/>
      <c r="M42" s="9"/>
      <c r="N42" s="9"/>
      <c r="O42" s="9"/>
      <c r="P42" s="9"/>
      <c r="Q42" s="16" t="s">
        <v>25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15.6" thickTop="1" thickBot="1" x14ac:dyDescent="0.35">
      <c r="A43" s="17" t="s">
        <v>32</v>
      </c>
      <c r="B43" s="17" t="s">
        <v>28</v>
      </c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ht="15" thickTop="1" x14ac:dyDescent="0.3">
      <c r="A44" s="20"/>
      <c r="B44" s="21" t="s">
        <v>29</v>
      </c>
      <c r="C44" s="20"/>
      <c r="D44" s="20"/>
      <c r="E44" s="22"/>
      <c r="F44" s="22"/>
      <c r="G44" s="22"/>
      <c r="H44" s="22"/>
      <c r="I44" s="22"/>
      <c r="J44" s="22"/>
      <c r="K44" s="22"/>
      <c r="L44" s="22"/>
      <c r="M44" s="23"/>
      <c r="N44" s="23"/>
      <c r="O44" s="23"/>
      <c r="P44" s="23"/>
      <c r="Q44" s="24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x14ac:dyDescent="0.3">
      <c r="A45" s="25"/>
      <c r="B45" s="11" t="s">
        <v>21</v>
      </c>
      <c r="C45" s="25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3">
      <c r="A46" s="25"/>
      <c r="B46" s="11" t="s">
        <v>22</v>
      </c>
      <c r="C46" s="25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3">
      <c r="A47" s="25"/>
      <c r="B47" s="11" t="s">
        <v>23</v>
      </c>
      <c r="C47" s="2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5" thickBot="1" x14ac:dyDescent="0.35">
      <c r="A48" s="27"/>
      <c r="B48" s="16" t="s">
        <v>24</v>
      </c>
      <c r="C48" s="27"/>
      <c r="D48" s="27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34" ht="15" thickTop="1" x14ac:dyDescent="0.3">
      <c r="A49" s="29"/>
      <c r="B49" s="29"/>
      <c r="C49" s="29"/>
      <c r="D49" s="2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spans="1:34" ht="15.6" x14ac:dyDescent="0.3">
      <c r="A50" s="35" t="s">
        <v>11</v>
      </c>
      <c r="B50" s="34" t="s">
        <v>16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</row>
    <row r="51" spans="1:34" ht="15.6" x14ac:dyDescent="0.3">
      <c r="A51" s="35" t="s">
        <v>14</v>
      </c>
      <c r="B51" s="213" t="s">
        <v>77</v>
      </c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</row>
    <row r="52" spans="1:34" ht="18" x14ac:dyDescent="0.35">
      <c r="A52" s="33"/>
      <c r="B52" s="36" t="s">
        <v>78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</row>
    <row r="53" spans="1:34" ht="15.6" x14ac:dyDescent="0.3">
      <c r="A53" s="35" t="s">
        <v>18</v>
      </c>
      <c r="B53" s="34" t="s">
        <v>20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1:34" ht="15.6" x14ac:dyDescent="0.3">
      <c r="A54" s="38" t="s">
        <v>30</v>
      </c>
      <c r="B54" s="34" t="s">
        <v>76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34" x14ac:dyDescent="0.3">
      <c r="A55" s="38" t="s">
        <v>82</v>
      </c>
      <c r="B55" s="34" t="s">
        <v>83</v>
      </c>
    </row>
  </sheetData>
  <mergeCells count="119">
    <mergeCell ref="AA28:AA32"/>
    <mergeCell ref="AB28:AB32"/>
    <mergeCell ref="AC28:AC32"/>
    <mergeCell ref="AA13:AA17"/>
    <mergeCell ref="AB13:AB17"/>
    <mergeCell ref="AC13:AC17"/>
    <mergeCell ref="M23:M27"/>
    <mergeCell ref="N23:N27"/>
    <mergeCell ref="O23:O27"/>
    <mergeCell ref="P23:P27"/>
    <mergeCell ref="AA9:AA11"/>
    <mergeCell ref="X10:X11"/>
    <mergeCell ref="Y10:Z10"/>
    <mergeCell ref="P13:P17"/>
    <mergeCell ref="M18:M22"/>
    <mergeCell ref="N18:N22"/>
    <mergeCell ref="O18:O22"/>
    <mergeCell ref="P18:P22"/>
    <mergeCell ref="R10:R11"/>
    <mergeCell ref="S10:T10"/>
    <mergeCell ref="P9:P11"/>
    <mergeCell ref="U9:W9"/>
    <mergeCell ref="U10:U11"/>
    <mergeCell ref="V10:W10"/>
    <mergeCell ref="L38:L42"/>
    <mergeCell ref="A38:A42"/>
    <mergeCell ref="B38:B42"/>
    <mergeCell ref="C38:C42"/>
    <mergeCell ref="D38:D42"/>
    <mergeCell ref="E38:E42"/>
    <mergeCell ref="F38:F42"/>
    <mergeCell ref="G38:G42"/>
    <mergeCell ref="H38:H42"/>
    <mergeCell ref="I38:I42"/>
    <mergeCell ref="J38:J42"/>
    <mergeCell ref="K38:K42"/>
    <mergeCell ref="L33:L37"/>
    <mergeCell ref="A33:A37"/>
    <mergeCell ref="B33:B37"/>
    <mergeCell ref="C33:C37"/>
    <mergeCell ref="D33:D37"/>
    <mergeCell ref="E33:E37"/>
    <mergeCell ref="F33:F37"/>
    <mergeCell ref="G33:G37"/>
    <mergeCell ref="H33:H37"/>
    <mergeCell ref="I33:I37"/>
    <mergeCell ref="J33:J37"/>
    <mergeCell ref="K33:K37"/>
    <mergeCell ref="L28:L32"/>
    <mergeCell ref="A28:A32"/>
    <mergeCell ref="B28:B32"/>
    <mergeCell ref="C28:C32"/>
    <mergeCell ref="D28:D32"/>
    <mergeCell ref="E28:E32"/>
    <mergeCell ref="F28:F32"/>
    <mergeCell ref="G28:G32"/>
    <mergeCell ref="H28:H32"/>
    <mergeCell ref="I28:I32"/>
    <mergeCell ref="J28:J32"/>
    <mergeCell ref="K28:K32"/>
    <mergeCell ref="L23:L27"/>
    <mergeCell ref="A23:A27"/>
    <mergeCell ref="B23:B27"/>
    <mergeCell ref="C23:C27"/>
    <mergeCell ref="D23:D27"/>
    <mergeCell ref="E23:E27"/>
    <mergeCell ref="F23:F27"/>
    <mergeCell ref="G23:G27"/>
    <mergeCell ref="H23:H27"/>
    <mergeCell ref="I23:I27"/>
    <mergeCell ref="J23:J27"/>
    <mergeCell ref="K23:K27"/>
    <mergeCell ref="L18:L22"/>
    <mergeCell ref="A18:A22"/>
    <mergeCell ref="B18:B22"/>
    <mergeCell ref="C18:C22"/>
    <mergeCell ref="D18:D22"/>
    <mergeCell ref="E18:E22"/>
    <mergeCell ref="F18:F22"/>
    <mergeCell ref="G18:G22"/>
    <mergeCell ref="H18:H22"/>
    <mergeCell ref="I18:I22"/>
    <mergeCell ref="J18:J22"/>
    <mergeCell ref="K18:K22"/>
    <mergeCell ref="K13:K17"/>
    <mergeCell ref="L13:L17"/>
    <mergeCell ref="X9:Z9"/>
    <mergeCell ref="M9:O9"/>
    <mergeCell ref="K9:L10"/>
    <mergeCell ref="M10:M11"/>
    <mergeCell ref="N10:O10"/>
    <mergeCell ref="M13:M17"/>
    <mergeCell ref="N13:N17"/>
    <mergeCell ref="O13:O17"/>
    <mergeCell ref="R9:T9"/>
    <mergeCell ref="B51:AH5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H13:H17"/>
    <mergeCell ref="AB9:AB11"/>
    <mergeCell ref="B13:B17"/>
    <mergeCell ref="A13:A17"/>
    <mergeCell ref="E13:E17"/>
    <mergeCell ref="F13:F17"/>
    <mergeCell ref="G13:G17"/>
    <mergeCell ref="D13:D17"/>
    <mergeCell ref="C13:C17"/>
    <mergeCell ref="AC9:AC11"/>
    <mergeCell ref="Q9:Q11"/>
    <mergeCell ref="I13:I17"/>
    <mergeCell ref="J13:J17"/>
  </mergeCells>
  <pageMargins left="0.70866141732283472" right="0.70866141732283472" top="0.74803149606299213" bottom="0.74803149606299213" header="0.31496062992125984" footer="0.31496062992125984"/>
  <pageSetup paperSize="9" scale="5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27"/>
  <sheetViews>
    <sheetView tabSelected="1" topLeftCell="A728" zoomScale="93" zoomScaleNormal="93" zoomScaleSheetLayoutView="106" workbookViewId="0">
      <selection activeCell="E711" sqref="E711:E716"/>
    </sheetView>
  </sheetViews>
  <sheetFormatPr defaultRowHeight="14.4" x14ac:dyDescent="0.3"/>
  <cols>
    <col min="1" max="1" width="3.5546875" style="1" customWidth="1"/>
    <col min="2" max="2" width="11.109375" style="1" customWidth="1"/>
    <col min="3" max="3" width="10.88671875" style="1" customWidth="1"/>
    <col min="4" max="4" width="10.5546875" style="1" customWidth="1"/>
    <col min="5" max="5" width="13.109375" style="1" customWidth="1"/>
    <col min="6" max="6" width="12.44140625" style="1" customWidth="1"/>
    <col min="7" max="7" width="14.44140625" style="1" customWidth="1"/>
    <col min="8" max="8" width="28.109375" style="1" customWidth="1"/>
    <col min="9" max="9" width="13.88671875" style="1" customWidth="1"/>
    <col min="10" max="10" width="10.109375" style="1" customWidth="1"/>
    <col min="11" max="11" width="10.33203125" style="1" customWidth="1"/>
    <col min="12" max="12" width="9.5546875" style="1" customWidth="1"/>
    <col min="13" max="13" width="13.33203125" style="1" customWidth="1"/>
    <col min="14" max="14" width="8.88671875" style="1" customWidth="1"/>
    <col min="15" max="15" width="7.88671875" style="1" customWidth="1"/>
    <col min="16" max="16" width="17.5546875" style="1" customWidth="1"/>
    <col min="17" max="17" width="11.33203125" style="1" customWidth="1"/>
    <col min="18" max="18" width="0" hidden="1" customWidth="1"/>
    <col min="19" max="19" width="0" style="159" hidden="1" customWidth="1"/>
    <col min="20" max="16384" width="8.88671875" style="390"/>
  </cols>
  <sheetData>
    <row r="1" spans="1:19" x14ac:dyDescent="0.3">
      <c r="L1" s="4"/>
      <c r="M1" s="253" t="s">
        <v>1162</v>
      </c>
      <c r="N1" s="254"/>
      <c r="O1" s="254"/>
      <c r="P1" s="254"/>
      <c r="Q1" s="255"/>
    </row>
    <row r="2" spans="1:19" x14ac:dyDescent="0.3">
      <c r="L2" s="4"/>
      <c r="M2" s="4"/>
    </row>
    <row r="3" spans="1:19" ht="15.6" x14ac:dyDescent="0.3">
      <c r="A3" s="272" t="s">
        <v>72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</row>
    <row r="4" spans="1:19" ht="15.6" x14ac:dyDescent="0.3">
      <c r="A4" s="173"/>
      <c r="B4" s="173"/>
      <c r="C4" s="273" t="s">
        <v>1239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173" t="s">
        <v>33</v>
      </c>
    </row>
    <row r="5" spans="1:19" s="31" customFormat="1" ht="42.75" customHeight="1" x14ac:dyDescent="0.2">
      <c r="A5" s="214" t="s">
        <v>0</v>
      </c>
      <c r="B5" s="214" t="s">
        <v>39</v>
      </c>
      <c r="C5" s="214"/>
      <c r="D5" s="214" t="s">
        <v>36</v>
      </c>
      <c r="E5" s="214" t="s">
        <v>1</v>
      </c>
      <c r="F5" s="214" t="s">
        <v>37</v>
      </c>
      <c r="G5" s="214" t="s">
        <v>51</v>
      </c>
      <c r="H5" s="214" t="s">
        <v>71</v>
      </c>
      <c r="I5" s="214" t="s">
        <v>38</v>
      </c>
      <c r="J5" s="214" t="s">
        <v>4</v>
      </c>
      <c r="K5" s="214" t="s">
        <v>49</v>
      </c>
      <c r="L5" s="214"/>
      <c r="M5" s="214" t="s">
        <v>67</v>
      </c>
      <c r="N5" s="214"/>
      <c r="O5" s="214"/>
      <c r="P5" s="214"/>
      <c r="Q5" s="214" t="s">
        <v>70</v>
      </c>
      <c r="R5" s="11"/>
      <c r="S5" s="395"/>
    </row>
    <row r="6" spans="1:19" s="31" customFormat="1" ht="40.799999999999997" x14ac:dyDescent="0.2">
      <c r="A6" s="214"/>
      <c r="B6" s="194" t="s">
        <v>40</v>
      </c>
      <c r="C6" s="194" t="s">
        <v>41</v>
      </c>
      <c r="D6" s="214"/>
      <c r="E6" s="214"/>
      <c r="F6" s="214"/>
      <c r="G6" s="214"/>
      <c r="H6" s="214"/>
      <c r="I6" s="214"/>
      <c r="J6" s="214"/>
      <c r="K6" s="194" t="s">
        <v>66</v>
      </c>
      <c r="L6" s="194" t="s">
        <v>68</v>
      </c>
      <c r="M6" s="194" t="s">
        <v>48</v>
      </c>
      <c r="N6" s="194" t="s">
        <v>66</v>
      </c>
      <c r="O6" s="194" t="s">
        <v>68</v>
      </c>
      <c r="P6" s="410" t="s">
        <v>52</v>
      </c>
      <c r="Q6" s="214"/>
      <c r="R6" s="11"/>
      <c r="S6" s="395"/>
    </row>
    <row r="7" spans="1:19" s="31" customFormat="1" ht="10.199999999999999" x14ac:dyDescent="0.2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  <c r="H7" s="196">
        <v>8</v>
      </c>
      <c r="I7" s="196">
        <v>9</v>
      </c>
      <c r="J7" s="196">
        <v>10</v>
      </c>
      <c r="K7" s="196">
        <v>11</v>
      </c>
      <c r="L7" s="196">
        <v>12</v>
      </c>
      <c r="M7" s="196">
        <v>13</v>
      </c>
      <c r="N7" s="196">
        <v>14</v>
      </c>
      <c r="O7" s="196">
        <v>15</v>
      </c>
      <c r="P7" s="196">
        <v>16</v>
      </c>
      <c r="Q7" s="196">
        <v>17</v>
      </c>
      <c r="R7" s="11"/>
      <c r="S7" s="395"/>
    </row>
    <row r="8" spans="1:19" s="391" customFormat="1" ht="16.5" customHeight="1" x14ac:dyDescent="0.3">
      <c r="A8" s="274" t="s">
        <v>956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5"/>
      <c r="R8" s="396"/>
      <c r="S8" s="397"/>
    </row>
    <row r="9" spans="1:19" s="392" customFormat="1" ht="34.5" customHeight="1" x14ac:dyDescent="0.3">
      <c r="A9" s="236">
        <v>1</v>
      </c>
      <c r="B9" s="259">
        <v>43170</v>
      </c>
      <c r="C9" s="259">
        <v>44995</v>
      </c>
      <c r="D9" s="247" t="s">
        <v>166</v>
      </c>
      <c r="E9" s="236" t="s">
        <v>958</v>
      </c>
      <c r="F9" s="236" t="s">
        <v>957</v>
      </c>
      <c r="G9" s="236" t="s">
        <v>1144</v>
      </c>
      <c r="H9" s="198" t="s">
        <v>974</v>
      </c>
      <c r="I9" s="236" t="s">
        <v>172</v>
      </c>
      <c r="J9" s="198">
        <v>43.2</v>
      </c>
      <c r="K9" s="197">
        <f t="shared" ref="K9:K15" si="0">S9*9</f>
        <v>16236.288</v>
      </c>
      <c r="L9" s="197">
        <f t="shared" ref="L9:L15" si="1">S9*3</f>
        <v>5412.0960000000005</v>
      </c>
      <c r="M9" s="199" t="s">
        <v>42</v>
      </c>
      <c r="N9" s="236" t="s">
        <v>1142</v>
      </c>
      <c r="O9" s="275"/>
      <c r="P9" s="236" t="s">
        <v>1143</v>
      </c>
      <c r="Q9" s="261"/>
      <c r="R9" s="398"/>
      <c r="S9" s="202">
        <f>14.5*J9*1*(1+0.5+0.9)*1.2</f>
        <v>1804.0320000000002</v>
      </c>
    </row>
    <row r="10" spans="1:19" s="392" customFormat="1" ht="30.6" x14ac:dyDescent="0.3">
      <c r="A10" s="236"/>
      <c r="B10" s="236"/>
      <c r="C10" s="236"/>
      <c r="D10" s="252"/>
      <c r="E10" s="236"/>
      <c r="F10" s="236"/>
      <c r="G10" s="236"/>
      <c r="H10" s="198" t="s">
        <v>973</v>
      </c>
      <c r="I10" s="251"/>
      <c r="J10" s="198">
        <v>137.19999999999999</v>
      </c>
      <c r="K10" s="197">
        <f t="shared" si="0"/>
        <v>66605.111999999994</v>
      </c>
      <c r="L10" s="197">
        <f t="shared" si="1"/>
        <v>22201.703999999998</v>
      </c>
      <c r="M10" s="199" t="s">
        <v>43</v>
      </c>
      <c r="N10" s="275"/>
      <c r="O10" s="275"/>
      <c r="P10" s="236"/>
      <c r="Q10" s="261"/>
      <c r="R10" s="398"/>
      <c r="S10" s="202">
        <f>14.5*J10*1*(1+1.2+0.9)*1.2</f>
        <v>7400.5679999999993</v>
      </c>
    </row>
    <row r="11" spans="1:19" s="392" customFormat="1" ht="33.75" customHeight="1" x14ac:dyDescent="0.3">
      <c r="A11" s="265"/>
      <c r="B11" s="265"/>
      <c r="C11" s="265"/>
      <c r="D11" s="264"/>
      <c r="E11" s="265"/>
      <c r="F11" s="265"/>
      <c r="G11" s="265"/>
      <c r="H11" s="198" t="s">
        <v>972</v>
      </c>
      <c r="I11" s="251"/>
      <c r="J11" s="198">
        <v>68.5</v>
      </c>
      <c r="K11" s="197">
        <f t="shared" si="0"/>
        <v>39904.811999999998</v>
      </c>
      <c r="L11" s="197">
        <f t="shared" si="1"/>
        <v>13301.603999999999</v>
      </c>
      <c r="M11" s="199" t="s">
        <v>44</v>
      </c>
      <c r="N11" s="275"/>
      <c r="O11" s="275"/>
      <c r="P11" s="265"/>
      <c r="Q11" s="261"/>
      <c r="R11" s="398"/>
      <c r="S11" s="202">
        <f>14.5*J11*1.2*(1+1.2+0.9)*1.2</f>
        <v>4433.8679999999995</v>
      </c>
    </row>
    <row r="12" spans="1:19" s="392" customFormat="1" ht="30.6" x14ac:dyDescent="0.3">
      <c r="A12" s="265"/>
      <c r="B12" s="265"/>
      <c r="C12" s="265"/>
      <c r="D12" s="264"/>
      <c r="E12" s="265"/>
      <c r="F12" s="265"/>
      <c r="G12" s="265"/>
      <c r="H12" s="198" t="s">
        <v>971</v>
      </c>
      <c r="I12" s="251"/>
      <c r="J12" s="198">
        <v>111.8</v>
      </c>
      <c r="K12" s="197">
        <f t="shared" si="0"/>
        <v>40705.820999999996</v>
      </c>
      <c r="L12" s="197">
        <f t="shared" si="1"/>
        <v>13568.607</v>
      </c>
      <c r="M12" s="199" t="s">
        <v>45</v>
      </c>
      <c r="N12" s="275"/>
      <c r="O12" s="275"/>
      <c r="P12" s="265"/>
      <c r="Q12" s="261"/>
      <c r="R12" s="398"/>
      <c r="S12" s="202">
        <f>14.5*J12*1*(1+1.2+0.9)*0.9</f>
        <v>4522.8689999999997</v>
      </c>
    </row>
    <row r="13" spans="1:19" s="392" customFormat="1" ht="30.6" x14ac:dyDescent="0.3">
      <c r="A13" s="265"/>
      <c r="B13" s="265"/>
      <c r="C13" s="265"/>
      <c r="D13" s="264"/>
      <c r="E13" s="265"/>
      <c r="F13" s="265"/>
      <c r="G13" s="265"/>
      <c r="H13" s="198" t="s">
        <v>970</v>
      </c>
      <c r="I13" s="251"/>
      <c r="J13" s="198">
        <v>63.5</v>
      </c>
      <c r="K13" s="197">
        <f t="shared" si="0"/>
        <v>21877.02</v>
      </c>
      <c r="L13" s="197">
        <f t="shared" si="1"/>
        <v>7292.34</v>
      </c>
      <c r="M13" s="199" t="s">
        <v>46</v>
      </c>
      <c r="N13" s="275"/>
      <c r="O13" s="275"/>
      <c r="P13" s="265"/>
      <c r="Q13" s="261"/>
      <c r="R13" s="398"/>
      <c r="S13" s="202">
        <f>14.5*J13*1.1*(1+0.1+0.9)*1.2</f>
        <v>2430.7800000000002</v>
      </c>
    </row>
    <row r="14" spans="1:19" s="392" customFormat="1" ht="34.5" customHeight="1" x14ac:dyDescent="0.3">
      <c r="A14" s="265"/>
      <c r="B14" s="265"/>
      <c r="C14" s="265"/>
      <c r="D14" s="264"/>
      <c r="E14" s="265"/>
      <c r="F14" s="265"/>
      <c r="G14" s="265"/>
      <c r="H14" s="198" t="s">
        <v>969</v>
      </c>
      <c r="I14" s="251"/>
      <c r="J14" s="198">
        <v>85.6</v>
      </c>
      <c r="K14" s="197">
        <f t="shared" si="0"/>
        <v>45710.9136</v>
      </c>
      <c r="L14" s="197">
        <f t="shared" si="1"/>
        <v>15236.9712</v>
      </c>
      <c r="M14" s="211" t="s">
        <v>1245</v>
      </c>
      <c r="N14" s="411">
        <v>6585.9</v>
      </c>
      <c r="O14" s="411">
        <v>998.81</v>
      </c>
      <c r="P14" s="265"/>
      <c r="Q14" s="261"/>
      <c r="R14" s="398"/>
      <c r="S14" s="202">
        <f>14.5*J14*1.1*(1+1.2+0.9)*1.2</f>
        <v>5078.9903999999997</v>
      </c>
    </row>
    <row r="15" spans="1:19" s="181" customFormat="1" ht="11.25" customHeight="1" x14ac:dyDescent="0.2">
      <c r="A15" s="237">
        <f>A9+1</f>
        <v>2</v>
      </c>
      <c r="B15" s="270">
        <v>43074</v>
      </c>
      <c r="C15" s="259">
        <v>44899</v>
      </c>
      <c r="D15" s="236" t="s">
        <v>273</v>
      </c>
      <c r="E15" s="236" t="s">
        <v>958</v>
      </c>
      <c r="F15" s="236" t="s">
        <v>957</v>
      </c>
      <c r="G15" s="236" t="s">
        <v>960</v>
      </c>
      <c r="H15" s="236" t="s">
        <v>968</v>
      </c>
      <c r="I15" s="236" t="s">
        <v>277</v>
      </c>
      <c r="J15" s="237">
        <v>121.1</v>
      </c>
      <c r="K15" s="238">
        <f t="shared" si="0"/>
        <v>45514.223999999995</v>
      </c>
      <c r="L15" s="238">
        <f t="shared" si="1"/>
        <v>15171.407999999999</v>
      </c>
      <c r="M15" s="199" t="s">
        <v>42</v>
      </c>
      <c r="N15" s="236" t="s">
        <v>1142</v>
      </c>
      <c r="O15" s="242"/>
      <c r="P15" s="236" t="s">
        <v>960</v>
      </c>
      <c r="Q15" s="236" t="s">
        <v>959</v>
      </c>
      <c r="R15" s="244"/>
      <c r="S15" s="245">
        <f>14.5*J15*1*(1+0.5+0.9)*1.2</f>
        <v>5057.1359999999995</v>
      </c>
    </row>
    <row r="16" spans="1:19" s="181" customFormat="1" ht="22.5" customHeight="1" x14ac:dyDescent="0.2">
      <c r="A16" s="237"/>
      <c r="B16" s="237"/>
      <c r="C16" s="236"/>
      <c r="D16" s="236"/>
      <c r="E16" s="236"/>
      <c r="F16" s="236"/>
      <c r="G16" s="236"/>
      <c r="H16" s="236"/>
      <c r="I16" s="236"/>
      <c r="J16" s="237"/>
      <c r="K16" s="238"/>
      <c r="L16" s="238"/>
      <c r="M16" s="199" t="s">
        <v>43</v>
      </c>
      <c r="N16" s="242"/>
      <c r="O16" s="242"/>
      <c r="P16" s="236"/>
      <c r="Q16" s="236"/>
      <c r="R16" s="244"/>
      <c r="S16" s="245"/>
    </row>
    <row r="17" spans="1:19" s="181" customFormat="1" ht="11.25" customHeight="1" x14ac:dyDescent="0.2">
      <c r="A17" s="237"/>
      <c r="B17" s="237"/>
      <c r="C17" s="236"/>
      <c r="D17" s="236"/>
      <c r="E17" s="236"/>
      <c r="F17" s="236"/>
      <c r="G17" s="236"/>
      <c r="H17" s="236"/>
      <c r="I17" s="236"/>
      <c r="J17" s="237"/>
      <c r="K17" s="238"/>
      <c r="L17" s="238"/>
      <c r="M17" s="199" t="s">
        <v>44</v>
      </c>
      <c r="N17" s="242"/>
      <c r="O17" s="242"/>
      <c r="P17" s="236"/>
      <c r="Q17" s="236"/>
      <c r="R17" s="244"/>
      <c r="S17" s="245"/>
    </row>
    <row r="18" spans="1:19" s="181" customFormat="1" ht="11.25" customHeight="1" x14ac:dyDescent="0.2">
      <c r="A18" s="237"/>
      <c r="B18" s="237"/>
      <c r="C18" s="236"/>
      <c r="D18" s="236"/>
      <c r="E18" s="236"/>
      <c r="F18" s="236"/>
      <c r="G18" s="236"/>
      <c r="H18" s="236"/>
      <c r="I18" s="236"/>
      <c r="J18" s="237"/>
      <c r="K18" s="238"/>
      <c r="L18" s="238"/>
      <c r="M18" s="199" t="s">
        <v>45</v>
      </c>
      <c r="N18" s="242"/>
      <c r="O18" s="242"/>
      <c r="P18" s="236"/>
      <c r="Q18" s="236"/>
      <c r="R18" s="244"/>
      <c r="S18" s="245"/>
    </row>
    <row r="19" spans="1:19" s="181" customFormat="1" ht="11.25" customHeight="1" x14ac:dyDescent="0.2">
      <c r="A19" s="237"/>
      <c r="B19" s="237"/>
      <c r="C19" s="236"/>
      <c r="D19" s="236"/>
      <c r="E19" s="236"/>
      <c r="F19" s="236"/>
      <c r="G19" s="236"/>
      <c r="H19" s="236"/>
      <c r="I19" s="236"/>
      <c r="J19" s="237"/>
      <c r="K19" s="238"/>
      <c r="L19" s="238"/>
      <c r="M19" s="199" t="s">
        <v>46</v>
      </c>
      <c r="N19" s="242"/>
      <c r="O19" s="242"/>
      <c r="P19" s="236"/>
      <c r="Q19" s="236"/>
      <c r="R19" s="244"/>
      <c r="S19" s="245"/>
    </row>
    <row r="20" spans="1:19" s="181" customFormat="1" ht="11.25" customHeight="1" x14ac:dyDescent="0.2">
      <c r="A20" s="237"/>
      <c r="B20" s="237"/>
      <c r="C20" s="236"/>
      <c r="D20" s="236"/>
      <c r="E20" s="236"/>
      <c r="F20" s="236"/>
      <c r="G20" s="236"/>
      <c r="H20" s="236"/>
      <c r="I20" s="236"/>
      <c r="J20" s="237"/>
      <c r="K20" s="238"/>
      <c r="L20" s="238"/>
      <c r="M20" s="211" t="s">
        <v>1245</v>
      </c>
      <c r="N20" s="193">
        <v>0</v>
      </c>
      <c r="O20" s="193">
        <v>0</v>
      </c>
      <c r="P20" s="236"/>
      <c r="Q20" s="236"/>
      <c r="R20" s="244"/>
      <c r="S20" s="245"/>
    </row>
    <row r="21" spans="1:19" s="181" customFormat="1" ht="11.25" customHeight="1" x14ac:dyDescent="0.2">
      <c r="A21" s="237">
        <f>A15+1</f>
        <v>3</v>
      </c>
      <c r="B21" s="259">
        <v>43698</v>
      </c>
      <c r="C21" s="259">
        <v>45525</v>
      </c>
      <c r="D21" s="236" t="s">
        <v>303</v>
      </c>
      <c r="E21" s="236" t="s">
        <v>958</v>
      </c>
      <c r="F21" s="236" t="s">
        <v>957</v>
      </c>
      <c r="G21" s="236" t="s">
        <v>305</v>
      </c>
      <c r="H21" s="236" t="s">
        <v>967</v>
      </c>
      <c r="I21" s="236" t="s">
        <v>309</v>
      </c>
      <c r="J21" s="236">
        <v>203.4</v>
      </c>
      <c r="K21" s="238">
        <f>S21*9</f>
        <v>126135.66240000003</v>
      </c>
      <c r="L21" s="238">
        <f>S21*3</f>
        <v>42045.22080000001</v>
      </c>
      <c r="M21" s="199" t="s">
        <v>42</v>
      </c>
      <c r="N21" s="236" t="s">
        <v>1142</v>
      </c>
      <c r="O21" s="242"/>
      <c r="P21" s="266" t="s">
        <v>305</v>
      </c>
      <c r="Q21" s="236"/>
      <c r="R21" s="203"/>
      <c r="S21" s="245">
        <f>14.5*J21*1.2*(1+1.2+1.1)*1.2</f>
        <v>14015.073600000003</v>
      </c>
    </row>
    <row r="22" spans="1:19" s="181" customFormat="1" ht="22.5" customHeight="1" x14ac:dyDescent="0.2">
      <c r="A22" s="237"/>
      <c r="B22" s="237"/>
      <c r="C22" s="236"/>
      <c r="D22" s="236"/>
      <c r="E22" s="236"/>
      <c r="F22" s="236"/>
      <c r="G22" s="236"/>
      <c r="H22" s="236"/>
      <c r="I22" s="237"/>
      <c r="J22" s="237"/>
      <c r="K22" s="238"/>
      <c r="L22" s="238"/>
      <c r="M22" s="199" t="s">
        <v>43</v>
      </c>
      <c r="N22" s="242"/>
      <c r="O22" s="242"/>
      <c r="P22" s="236"/>
      <c r="Q22" s="236"/>
      <c r="R22" s="203"/>
      <c r="S22" s="252"/>
    </row>
    <row r="23" spans="1:19" s="181" customFormat="1" ht="10.5" customHeight="1" x14ac:dyDescent="0.2">
      <c r="A23" s="237"/>
      <c r="B23" s="237"/>
      <c r="C23" s="236"/>
      <c r="D23" s="236"/>
      <c r="E23" s="236"/>
      <c r="F23" s="236"/>
      <c r="G23" s="236"/>
      <c r="H23" s="236"/>
      <c r="I23" s="237"/>
      <c r="J23" s="237"/>
      <c r="K23" s="238"/>
      <c r="L23" s="238"/>
      <c r="M23" s="199" t="s">
        <v>44</v>
      </c>
      <c r="N23" s="242"/>
      <c r="O23" s="242"/>
      <c r="P23" s="236"/>
      <c r="Q23" s="236"/>
      <c r="R23" s="203"/>
      <c r="S23" s="252"/>
    </row>
    <row r="24" spans="1:19" s="181" customFormat="1" ht="11.25" customHeight="1" x14ac:dyDescent="0.2">
      <c r="A24" s="237"/>
      <c r="B24" s="237"/>
      <c r="C24" s="236"/>
      <c r="D24" s="236"/>
      <c r="E24" s="236"/>
      <c r="F24" s="236"/>
      <c r="G24" s="236"/>
      <c r="H24" s="236"/>
      <c r="I24" s="237"/>
      <c r="J24" s="237"/>
      <c r="K24" s="238"/>
      <c r="L24" s="238"/>
      <c r="M24" s="199" t="s">
        <v>45</v>
      </c>
      <c r="N24" s="242"/>
      <c r="O24" s="242"/>
      <c r="P24" s="236"/>
      <c r="Q24" s="236"/>
      <c r="R24" s="203"/>
      <c r="S24" s="252"/>
    </row>
    <row r="25" spans="1:19" s="181" customFormat="1" ht="11.25" customHeight="1" x14ac:dyDescent="0.2">
      <c r="A25" s="237"/>
      <c r="B25" s="237"/>
      <c r="C25" s="236"/>
      <c r="D25" s="236"/>
      <c r="E25" s="236"/>
      <c r="F25" s="236"/>
      <c r="G25" s="236"/>
      <c r="H25" s="236"/>
      <c r="I25" s="237"/>
      <c r="J25" s="237"/>
      <c r="K25" s="238"/>
      <c r="L25" s="238"/>
      <c r="M25" s="199" t="s">
        <v>46</v>
      </c>
      <c r="N25" s="242"/>
      <c r="O25" s="242"/>
      <c r="P25" s="236"/>
      <c r="Q25" s="236"/>
      <c r="R25" s="203"/>
      <c r="S25" s="252"/>
    </row>
    <row r="26" spans="1:19" s="181" customFormat="1" ht="11.25" customHeight="1" x14ac:dyDescent="0.2">
      <c r="A26" s="237"/>
      <c r="B26" s="237"/>
      <c r="C26" s="236"/>
      <c r="D26" s="236"/>
      <c r="E26" s="236"/>
      <c r="F26" s="236"/>
      <c r="G26" s="236"/>
      <c r="H26" s="236"/>
      <c r="I26" s="237"/>
      <c r="J26" s="237"/>
      <c r="K26" s="238"/>
      <c r="L26" s="238"/>
      <c r="M26" s="211" t="s">
        <v>1245</v>
      </c>
      <c r="N26" s="200">
        <v>537.53</v>
      </c>
      <c r="O26" s="200">
        <v>347.82</v>
      </c>
      <c r="P26" s="236"/>
      <c r="Q26" s="236"/>
      <c r="R26" s="203"/>
      <c r="S26" s="252"/>
    </row>
    <row r="27" spans="1:19" s="181" customFormat="1" ht="11.25" customHeight="1" x14ac:dyDescent="0.2">
      <c r="A27" s="237">
        <f>A21+1</f>
        <v>4</v>
      </c>
      <c r="B27" s="259">
        <v>43749</v>
      </c>
      <c r="C27" s="259">
        <v>44844</v>
      </c>
      <c r="D27" s="247" t="s">
        <v>338</v>
      </c>
      <c r="E27" s="236" t="s">
        <v>958</v>
      </c>
      <c r="F27" s="236" t="s">
        <v>957</v>
      </c>
      <c r="G27" s="247" t="s">
        <v>1141</v>
      </c>
      <c r="H27" s="247" t="s">
        <v>1203</v>
      </c>
      <c r="I27" s="247" t="s">
        <v>342</v>
      </c>
      <c r="J27" s="248">
        <v>34.4</v>
      </c>
      <c r="K27" s="238">
        <f>S27*9</f>
        <v>7757.3376000000007</v>
      </c>
      <c r="L27" s="238">
        <f>S27*3</f>
        <v>2585.7791999999999</v>
      </c>
      <c r="M27" s="199" t="s">
        <v>42</v>
      </c>
      <c r="N27" s="236" t="s">
        <v>1142</v>
      </c>
      <c r="O27" s="242"/>
      <c r="P27" s="247" t="s">
        <v>1141</v>
      </c>
      <c r="Q27" s="251"/>
      <c r="R27" s="203"/>
      <c r="S27" s="245">
        <f>14.5*J27*1.2*(1+1.2+0.2)*0.6</f>
        <v>861.92640000000006</v>
      </c>
    </row>
    <row r="28" spans="1:19" s="181" customFormat="1" ht="25.5" customHeight="1" x14ac:dyDescent="0.2">
      <c r="A28" s="237"/>
      <c r="B28" s="264"/>
      <c r="C28" s="265"/>
      <c r="D28" s="251"/>
      <c r="E28" s="236"/>
      <c r="F28" s="236"/>
      <c r="G28" s="251"/>
      <c r="H28" s="251"/>
      <c r="I28" s="240"/>
      <c r="J28" s="240"/>
      <c r="K28" s="263"/>
      <c r="L28" s="263"/>
      <c r="M28" s="199" t="s">
        <v>43</v>
      </c>
      <c r="N28" s="242"/>
      <c r="O28" s="242"/>
      <c r="P28" s="251"/>
      <c r="Q28" s="251"/>
      <c r="R28" s="203"/>
      <c r="S28" s="399"/>
    </row>
    <row r="29" spans="1:19" s="181" customFormat="1" ht="11.25" customHeight="1" x14ac:dyDescent="0.2">
      <c r="A29" s="237"/>
      <c r="B29" s="264"/>
      <c r="C29" s="265"/>
      <c r="D29" s="251"/>
      <c r="E29" s="236"/>
      <c r="F29" s="236"/>
      <c r="G29" s="251"/>
      <c r="H29" s="251"/>
      <c r="I29" s="240"/>
      <c r="J29" s="240"/>
      <c r="K29" s="263"/>
      <c r="L29" s="263"/>
      <c r="M29" s="199" t="s">
        <v>44</v>
      </c>
      <c r="N29" s="242"/>
      <c r="O29" s="242"/>
      <c r="P29" s="251"/>
      <c r="Q29" s="251"/>
      <c r="R29" s="203"/>
      <c r="S29" s="399"/>
    </row>
    <row r="30" spans="1:19" s="181" customFormat="1" ht="11.25" customHeight="1" x14ac:dyDescent="0.2">
      <c r="A30" s="237"/>
      <c r="B30" s="264"/>
      <c r="C30" s="265"/>
      <c r="D30" s="251"/>
      <c r="E30" s="236"/>
      <c r="F30" s="236"/>
      <c r="G30" s="251"/>
      <c r="H30" s="251"/>
      <c r="I30" s="240"/>
      <c r="J30" s="240"/>
      <c r="K30" s="263"/>
      <c r="L30" s="263"/>
      <c r="M30" s="199" t="s">
        <v>45</v>
      </c>
      <c r="N30" s="242"/>
      <c r="O30" s="242"/>
      <c r="P30" s="251"/>
      <c r="Q30" s="251"/>
      <c r="R30" s="203"/>
      <c r="S30" s="399"/>
    </row>
    <row r="31" spans="1:19" s="181" customFormat="1" ht="11.25" customHeight="1" x14ac:dyDescent="0.2">
      <c r="A31" s="237"/>
      <c r="B31" s="264"/>
      <c r="C31" s="265"/>
      <c r="D31" s="251"/>
      <c r="E31" s="236"/>
      <c r="F31" s="236"/>
      <c r="G31" s="251"/>
      <c r="H31" s="251"/>
      <c r="I31" s="240"/>
      <c r="J31" s="240"/>
      <c r="K31" s="263"/>
      <c r="L31" s="263"/>
      <c r="M31" s="199" t="s">
        <v>46</v>
      </c>
      <c r="N31" s="242"/>
      <c r="O31" s="242"/>
      <c r="P31" s="251"/>
      <c r="Q31" s="251"/>
      <c r="R31" s="203"/>
      <c r="S31" s="399"/>
    </row>
    <row r="32" spans="1:19" s="181" customFormat="1" ht="13.5" customHeight="1" x14ac:dyDescent="0.2">
      <c r="A32" s="237"/>
      <c r="B32" s="264"/>
      <c r="C32" s="265"/>
      <c r="D32" s="251"/>
      <c r="E32" s="236"/>
      <c r="F32" s="236"/>
      <c r="G32" s="251"/>
      <c r="H32" s="251"/>
      <c r="I32" s="240"/>
      <c r="J32" s="240"/>
      <c r="K32" s="263"/>
      <c r="L32" s="263"/>
      <c r="M32" s="211" t="s">
        <v>1245</v>
      </c>
      <c r="N32" s="186">
        <v>543.70000000000005</v>
      </c>
      <c r="O32" s="200">
        <v>89.67</v>
      </c>
      <c r="P32" s="251"/>
      <c r="Q32" s="251"/>
      <c r="R32" s="203"/>
      <c r="S32" s="399"/>
    </row>
    <row r="33" spans="1:19" s="181" customFormat="1" ht="11.25" customHeight="1" x14ac:dyDescent="0.2">
      <c r="A33" s="237">
        <f>A27+1</f>
        <v>5</v>
      </c>
      <c r="B33" s="259">
        <v>43831</v>
      </c>
      <c r="C33" s="259">
        <v>44926</v>
      </c>
      <c r="D33" s="236" t="s">
        <v>391</v>
      </c>
      <c r="E33" s="236" t="s">
        <v>958</v>
      </c>
      <c r="F33" s="236" t="s">
        <v>957</v>
      </c>
      <c r="G33" s="266" t="s">
        <v>305</v>
      </c>
      <c r="H33" s="236" t="s">
        <v>966</v>
      </c>
      <c r="I33" s="236" t="s">
        <v>393</v>
      </c>
      <c r="J33" s="236">
        <v>116.3</v>
      </c>
      <c r="K33" s="238">
        <f>S33*9</f>
        <v>56458.997999999992</v>
      </c>
      <c r="L33" s="238">
        <f>S33*3</f>
        <v>18819.665999999997</v>
      </c>
      <c r="M33" s="199" t="s">
        <v>42</v>
      </c>
      <c r="N33" s="236" t="s">
        <v>1142</v>
      </c>
      <c r="O33" s="242"/>
      <c r="P33" s="266" t="s">
        <v>305</v>
      </c>
      <c r="Q33" s="251"/>
      <c r="R33" s="203"/>
      <c r="S33" s="245">
        <f>14.5*J33*1*(1+1.2+0.9)*1.2</f>
        <v>6273.2219999999988</v>
      </c>
    </row>
    <row r="34" spans="1:19" s="181" customFormat="1" ht="21" customHeight="1" x14ac:dyDescent="0.2">
      <c r="A34" s="237"/>
      <c r="B34" s="240"/>
      <c r="C34" s="251"/>
      <c r="D34" s="251"/>
      <c r="E34" s="236"/>
      <c r="F34" s="236"/>
      <c r="G34" s="251"/>
      <c r="H34" s="251"/>
      <c r="I34" s="271"/>
      <c r="J34" s="240"/>
      <c r="K34" s="263"/>
      <c r="L34" s="263"/>
      <c r="M34" s="199" t="s">
        <v>43</v>
      </c>
      <c r="N34" s="242"/>
      <c r="O34" s="242"/>
      <c r="P34" s="251"/>
      <c r="Q34" s="251"/>
      <c r="R34" s="203"/>
      <c r="S34" s="399"/>
    </row>
    <row r="35" spans="1:19" s="181" customFormat="1" ht="11.25" customHeight="1" x14ac:dyDescent="0.2">
      <c r="A35" s="237"/>
      <c r="B35" s="240"/>
      <c r="C35" s="251"/>
      <c r="D35" s="251"/>
      <c r="E35" s="236"/>
      <c r="F35" s="236"/>
      <c r="G35" s="251"/>
      <c r="H35" s="251"/>
      <c r="I35" s="271"/>
      <c r="J35" s="240"/>
      <c r="K35" s="263"/>
      <c r="L35" s="263"/>
      <c r="M35" s="199" t="s">
        <v>44</v>
      </c>
      <c r="N35" s="242"/>
      <c r="O35" s="242"/>
      <c r="P35" s="251"/>
      <c r="Q35" s="251"/>
      <c r="R35" s="203"/>
      <c r="S35" s="399"/>
    </row>
    <row r="36" spans="1:19" s="181" customFormat="1" ht="11.25" customHeight="1" x14ac:dyDescent="0.2">
      <c r="A36" s="237"/>
      <c r="B36" s="240"/>
      <c r="C36" s="251"/>
      <c r="D36" s="251"/>
      <c r="E36" s="236"/>
      <c r="F36" s="236"/>
      <c r="G36" s="251"/>
      <c r="H36" s="251"/>
      <c r="I36" s="271"/>
      <c r="J36" s="240"/>
      <c r="K36" s="263"/>
      <c r="L36" s="263"/>
      <c r="M36" s="199" t="s">
        <v>45</v>
      </c>
      <c r="N36" s="242"/>
      <c r="O36" s="242"/>
      <c r="P36" s="251"/>
      <c r="Q36" s="251"/>
      <c r="R36" s="203"/>
      <c r="S36" s="399"/>
    </row>
    <row r="37" spans="1:19" s="181" customFormat="1" ht="11.25" customHeight="1" x14ac:dyDescent="0.2">
      <c r="A37" s="237"/>
      <c r="B37" s="240"/>
      <c r="C37" s="251"/>
      <c r="D37" s="251"/>
      <c r="E37" s="236"/>
      <c r="F37" s="236"/>
      <c r="G37" s="251"/>
      <c r="H37" s="251"/>
      <c r="I37" s="271"/>
      <c r="J37" s="240"/>
      <c r="K37" s="263"/>
      <c r="L37" s="263"/>
      <c r="M37" s="199" t="s">
        <v>46</v>
      </c>
      <c r="N37" s="242"/>
      <c r="O37" s="242"/>
      <c r="P37" s="251"/>
      <c r="Q37" s="251"/>
      <c r="R37" s="203"/>
      <c r="S37" s="399"/>
    </row>
    <row r="38" spans="1:19" s="181" customFormat="1" ht="10.199999999999999" x14ac:dyDescent="0.2">
      <c r="A38" s="237"/>
      <c r="B38" s="240"/>
      <c r="C38" s="251"/>
      <c r="D38" s="251"/>
      <c r="E38" s="236"/>
      <c r="F38" s="236"/>
      <c r="G38" s="251"/>
      <c r="H38" s="251"/>
      <c r="I38" s="271"/>
      <c r="J38" s="240"/>
      <c r="K38" s="263"/>
      <c r="L38" s="263"/>
      <c r="M38" s="211" t="s">
        <v>1245</v>
      </c>
      <c r="N38" s="186">
        <v>403</v>
      </c>
      <c r="O38" s="200">
        <v>201.74</v>
      </c>
      <c r="P38" s="251"/>
      <c r="Q38" s="251"/>
      <c r="R38" s="203"/>
      <c r="S38" s="399"/>
    </row>
    <row r="39" spans="1:19" s="181" customFormat="1" ht="10.199999999999999" x14ac:dyDescent="0.2">
      <c r="A39" s="237">
        <f>A33+1</f>
        <v>6</v>
      </c>
      <c r="B39" s="259">
        <v>43833</v>
      </c>
      <c r="C39" s="259">
        <v>44928</v>
      </c>
      <c r="D39" s="236" t="s">
        <v>395</v>
      </c>
      <c r="E39" s="236" t="s">
        <v>958</v>
      </c>
      <c r="F39" s="236" t="s">
        <v>957</v>
      </c>
      <c r="G39" s="236" t="s">
        <v>917</v>
      </c>
      <c r="H39" s="236" t="s">
        <v>965</v>
      </c>
      <c r="I39" s="236" t="s">
        <v>400</v>
      </c>
      <c r="J39" s="236">
        <v>197.9</v>
      </c>
      <c r="K39" s="238">
        <f>S39*9</f>
        <v>115287.0408</v>
      </c>
      <c r="L39" s="238">
        <f>S39*3</f>
        <v>38429.013600000006</v>
      </c>
      <c r="M39" s="199" t="s">
        <v>42</v>
      </c>
      <c r="N39" s="236" t="s">
        <v>1142</v>
      </c>
      <c r="O39" s="242"/>
      <c r="P39" s="236" t="s">
        <v>917</v>
      </c>
      <c r="Q39" s="236"/>
      <c r="R39" s="203"/>
      <c r="S39" s="245">
        <f>14.5*J39*1.2*(1+1.2+0.9)*1.2</f>
        <v>12809.671200000001</v>
      </c>
    </row>
    <row r="40" spans="1:19" s="181" customFormat="1" ht="20.399999999999999" x14ac:dyDescent="0.2">
      <c r="A40" s="237"/>
      <c r="B40" s="237"/>
      <c r="C40" s="236"/>
      <c r="D40" s="236"/>
      <c r="E40" s="236"/>
      <c r="F40" s="236"/>
      <c r="G40" s="236"/>
      <c r="H40" s="236"/>
      <c r="I40" s="237"/>
      <c r="J40" s="237"/>
      <c r="K40" s="238"/>
      <c r="L40" s="238"/>
      <c r="M40" s="199" t="s">
        <v>43</v>
      </c>
      <c r="N40" s="242"/>
      <c r="O40" s="242"/>
      <c r="P40" s="236"/>
      <c r="Q40" s="236"/>
      <c r="R40" s="203"/>
      <c r="S40" s="252"/>
    </row>
    <row r="41" spans="1:19" s="181" customFormat="1" ht="11.25" customHeight="1" x14ac:dyDescent="0.2">
      <c r="A41" s="237"/>
      <c r="B41" s="237"/>
      <c r="C41" s="236"/>
      <c r="D41" s="236"/>
      <c r="E41" s="236"/>
      <c r="F41" s="236"/>
      <c r="G41" s="236"/>
      <c r="H41" s="236"/>
      <c r="I41" s="237"/>
      <c r="J41" s="237"/>
      <c r="K41" s="238"/>
      <c r="L41" s="238"/>
      <c r="M41" s="199" t="s">
        <v>44</v>
      </c>
      <c r="N41" s="242"/>
      <c r="O41" s="242"/>
      <c r="P41" s="236"/>
      <c r="Q41" s="236"/>
      <c r="R41" s="203"/>
      <c r="S41" s="252"/>
    </row>
    <row r="42" spans="1:19" s="181" customFormat="1" ht="10.199999999999999" x14ac:dyDescent="0.2">
      <c r="A42" s="237"/>
      <c r="B42" s="237"/>
      <c r="C42" s="236"/>
      <c r="D42" s="236"/>
      <c r="E42" s="236"/>
      <c r="F42" s="236"/>
      <c r="G42" s="236"/>
      <c r="H42" s="236"/>
      <c r="I42" s="237"/>
      <c r="J42" s="237"/>
      <c r="K42" s="238"/>
      <c r="L42" s="238"/>
      <c r="M42" s="199" t="s">
        <v>45</v>
      </c>
      <c r="N42" s="242"/>
      <c r="O42" s="242"/>
      <c r="P42" s="236"/>
      <c r="Q42" s="236"/>
      <c r="R42" s="203"/>
      <c r="S42" s="252"/>
    </row>
    <row r="43" spans="1:19" s="181" customFormat="1" ht="10.199999999999999" x14ac:dyDescent="0.2">
      <c r="A43" s="237"/>
      <c r="B43" s="237"/>
      <c r="C43" s="236"/>
      <c r="D43" s="236"/>
      <c r="E43" s="236"/>
      <c r="F43" s="236"/>
      <c r="G43" s="236"/>
      <c r="H43" s="236"/>
      <c r="I43" s="237"/>
      <c r="J43" s="237"/>
      <c r="K43" s="238"/>
      <c r="L43" s="238"/>
      <c r="M43" s="199" t="s">
        <v>46</v>
      </c>
      <c r="N43" s="242"/>
      <c r="O43" s="242"/>
      <c r="P43" s="236"/>
      <c r="Q43" s="236"/>
      <c r="R43" s="203"/>
      <c r="S43" s="252"/>
    </row>
    <row r="44" spans="1:19" s="181" customFormat="1" ht="11.25" customHeight="1" x14ac:dyDescent="0.2">
      <c r="A44" s="237"/>
      <c r="B44" s="237"/>
      <c r="C44" s="236"/>
      <c r="D44" s="236"/>
      <c r="E44" s="236"/>
      <c r="F44" s="236"/>
      <c r="G44" s="236"/>
      <c r="H44" s="236"/>
      <c r="I44" s="237"/>
      <c r="J44" s="237"/>
      <c r="K44" s="238"/>
      <c r="L44" s="238"/>
      <c r="M44" s="211" t="s">
        <v>1245</v>
      </c>
      <c r="N44" s="186">
        <v>387.9</v>
      </c>
      <c r="O44" s="200">
        <v>387.9</v>
      </c>
      <c r="P44" s="236"/>
      <c r="Q44" s="236"/>
      <c r="R44" s="203"/>
      <c r="S44" s="252"/>
    </row>
    <row r="45" spans="1:19" s="181" customFormat="1" x14ac:dyDescent="0.2">
      <c r="A45" s="237">
        <f>A39+1</f>
        <v>7</v>
      </c>
      <c r="B45" s="243">
        <v>44271</v>
      </c>
      <c r="C45" s="243" t="s">
        <v>486</v>
      </c>
      <c r="D45" s="247" t="s">
        <v>487</v>
      </c>
      <c r="E45" s="236" t="s">
        <v>958</v>
      </c>
      <c r="F45" s="236" t="s">
        <v>957</v>
      </c>
      <c r="G45" s="247" t="s">
        <v>489</v>
      </c>
      <c r="H45" s="247" t="s">
        <v>1204</v>
      </c>
      <c r="I45" s="247" t="s">
        <v>493</v>
      </c>
      <c r="J45" s="248">
        <v>11.6</v>
      </c>
      <c r="K45" s="238">
        <f>S45*9</f>
        <v>105.31842576748866</v>
      </c>
      <c r="L45" s="238">
        <f>S45*3</f>
        <v>35.106141922496221</v>
      </c>
      <c r="M45" s="199" t="s">
        <v>42</v>
      </c>
      <c r="N45" s="236" t="s">
        <v>1149</v>
      </c>
      <c r="O45" s="240"/>
      <c r="P45" s="240"/>
      <c r="Q45" s="207"/>
      <c r="R45" s="203"/>
      <c r="S45" s="245">
        <f>14.5*J45*1*(1+0.5+0.9)*1.2*12/1987*4</f>
        <v>11.70204730749874</v>
      </c>
    </row>
    <row r="46" spans="1:19" s="181" customFormat="1" ht="20.399999999999999" x14ac:dyDescent="0.2">
      <c r="A46" s="237"/>
      <c r="B46" s="264"/>
      <c r="C46" s="251"/>
      <c r="D46" s="251"/>
      <c r="E46" s="236"/>
      <c r="F46" s="236"/>
      <c r="G46" s="251"/>
      <c r="H46" s="251"/>
      <c r="I46" s="240"/>
      <c r="J46" s="248"/>
      <c r="K46" s="263"/>
      <c r="L46" s="263"/>
      <c r="M46" s="199" t="s">
        <v>43</v>
      </c>
      <c r="N46" s="251"/>
      <c r="O46" s="240"/>
      <c r="P46" s="240"/>
      <c r="Q46" s="207"/>
      <c r="R46" s="203"/>
      <c r="S46" s="399"/>
    </row>
    <row r="47" spans="1:19" s="181" customFormat="1" x14ac:dyDescent="0.2">
      <c r="A47" s="237"/>
      <c r="B47" s="264"/>
      <c r="C47" s="251"/>
      <c r="D47" s="251"/>
      <c r="E47" s="236"/>
      <c r="F47" s="236"/>
      <c r="G47" s="251"/>
      <c r="H47" s="251"/>
      <c r="I47" s="240"/>
      <c r="J47" s="248"/>
      <c r="K47" s="263"/>
      <c r="L47" s="263"/>
      <c r="M47" s="199" t="s">
        <v>44</v>
      </c>
      <c r="N47" s="251"/>
      <c r="O47" s="240"/>
      <c r="P47" s="240"/>
      <c r="Q47" s="207"/>
      <c r="R47" s="203"/>
      <c r="S47" s="399"/>
    </row>
    <row r="48" spans="1:19" s="181" customFormat="1" x14ac:dyDescent="0.2">
      <c r="A48" s="237"/>
      <c r="B48" s="264"/>
      <c r="C48" s="251"/>
      <c r="D48" s="251"/>
      <c r="E48" s="236"/>
      <c r="F48" s="236"/>
      <c r="G48" s="251"/>
      <c r="H48" s="251"/>
      <c r="I48" s="240"/>
      <c r="J48" s="248"/>
      <c r="K48" s="263"/>
      <c r="L48" s="263"/>
      <c r="M48" s="199" t="s">
        <v>45</v>
      </c>
      <c r="N48" s="251"/>
      <c r="O48" s="240"/>
      <c r="P48" s="240"/>
      <c r="Q48" s="207"/>
      <c r="R48" s="203"/>
      <c r="S48" s="399"/>
    </row>
    <row r="49" spans="1:19" s="181" customFormat="1" x14ac:dyDescent="0.2">
      <c r="A49" s="237"/>
      <c r="B49" s="264"/>
      <c r="C49" s="251"/>
      <c r="D49" s="251"/>
      <c r="E49" s="236"/>
      <c r="F49" s="236"/>
      <c r="G49" s="251"/>
      <c r="H49" s="251"/>
      <c r="I49" s="240"/>
      <c r="J49" s="248"/>
      <c r="K49" s="263"/>
      <c r="L49" s="263"/>
      <c r="M49" s="199" t="s">
        <v>46</v>
      </c>
      <c r="N49" s="251"/>
      <c r="O49" s="240"/>
      <c r="P49" s="240"/>
      <c r="Q49" s="207"/>
      <c r="R49" s="203"/>
      <c r="S49" s="399"/>
    </row>
    <row r="50" spans="1:19" s="181" customFormat="1" x14ac:dyDescent="0.2">
      <c r="A50" s="237"/>
      <c r="B50" s="264"/>
      <c r="C50" s="251"/>
      <c r="D50" s="251"/>
      <c r="E50" s="236"/>
      <c r="F50" s="236"/>
      <c r="G50" s="251"/>
      <c r="H50" s="251"/>
      <c r="I50" s="240"/>
      <c r="J50" s="248"/>
      <c r="K50" s="263"/>
      <c r="L50" s="263"/>
      <c r="M50" s="211" t="s">
        <v>1245</v>
      </c>
      <c r="N50" s="251"/>
      <c r="O50" s="240"/>
      <c r="P50" s="240"/>
      <c r="Q50" s="207"/>
      <c r="R50" s="203"/>
      <c r="S50" s="399"/>
    </row>
    <row r="51" spans="1:19" s="181" customFormat="1" ht="10.199999999999999" x14ac:dyDescent="0.2">
      <c r="A51" s="237">
        <f>A45+1</f>
        <v>8</v>
      </c>
      <c r="B51" s="259">
        <v>44277</v>
      </c>
      <c r="C51" s="243" t="s">
        <v>486</v>
      </c>
      <c r="D51" s="236" t="s">
        <v>494</v>
      </c>
      <c r="E51" s="236" t="s">
        <v>958</v>
      </c>
      <c r="F51" s="236" t="s">
        <v>957</v>
      </c>
      <c r="G51" s="247" t="s">
        <v>495</v>
      </c>
      <c r="H51" s="247" t="s">
        <v>1205</v>
      </c>
      <c r="I51" s="236" t="s">
        <v>498</v>
      </c>
      <c r="J51" s="236">
        <v>17.399999999999999</v>
      </c>
      <c r="K51" s="238">
        <f>S51*9</f>
        <v>177.72484348263714</v>
      </c>
      <c r="L51" s="238">
        <f>S51*3</f>
        <v>59.241614494212378</v>
      </c>
      <c r="M51" s="199" t="s">
        <v>42</v>
      </c>
      <c r="N51" s="236" t="s">
        <v>1149</v>
      </c>
      <c r="O51" s="240"/>
      <c r="P51" s="240"/>
      <c r="Q51" s="251"/>
      <c r="R51" s="203"/>
      <c r="S51" s="245">
        <f>14.5*J51*1*(1+1.2+0.5)*1.2*12/1987*4</f>
        <v>19.747204831404126</v>
      </c>
    </row>
    <row r="52" spans="1:19" s="181" customFormat="1" ht="20.25" customHeight="1" x14ac:dyDescent="0.2">
      <c r="A52" s="237"/>
      <c r="B52" s="240"/>
      <c r="C52" s="251"/>
      <c r="D52" s="251"/>
      <c r="E52" s="236"/>
      <c r="F52" s="236"/>
      <c r="G52" s="251"/>
      <c r="H52" s="251"/>
      <c r="I52" s="240"/>
      <c r="J52" s="240"/>
      <c r="K52" s="263"/>
      <c r="L52" s="263"/>
      <c r="M52" s="199" t="s">
        <v>43</v>
      </c>
      <c r="N52" s="251"/>
      <c r="O52" s="240"/>
      <c r="P52" s="240"/>
      <c r="Q52" s="251"/>
      <c r="R52" s="203"/>
      <c r="S52" s="399"/>
    </row>
    <row r="53" spans="1:19" s="181" customFormat="1" ht="21" customHeight="1" x14ac:dyDescent="0.2">
      <c r="A53" s="237"/>
      <c r="B53" s="240"/>
      <c r="C53" s="251"/>
      <c r="D53" s="251"/>
      <c r="E53" s="236"/>
      <c r="F53" s="236"/>
      <c r="G53" s="251"/>
      <c r="H53" s="251"/>
      <c r="I53" s="240"/>
      <c r="J53" s="240"/>
      <c r="K53" s="263"/>
      <c r="L53" s="263"/>
      <c r="M53" s="199" t="s">
        <v>44</v>
      </c>
      <c r="N53" s="251"/>
      <c r="O53" s="240"/>
      <c r="P53" s="240"/>
      <c r="Q53" s="251"/>
      <c r="R53" s="203"/>
      <c r="S53" s="399"/>
    </row>
    <row r="54" spans="1:19" s="181" customFormat="1" ht="10.199999999999999" x14ac:dyDescent="0.2">
      <c r="A54" s="237"/>
      <c r="B54" s="240"/>
      <c r="C54" s="251"/>
      <c r="D54" s="251"/>
      <c r="E54" s="236"/>
      <c r="F54" s="236"/>
      <c r="G54" s="251"/>
      <c r="H54" s="251"/>
      <c r="I54" s="240"/>
      <c r="J54" s="240"/>
      <c r="K54" s="263"/>
      <c r="L54" s="263"/>
      <c r="M54" s="199" t="s">
        <v>45</v>
      </c>
      <c r="N54" s="251"/>
      <c r="O54" s="240"/>
      <c r="P54" s="240"/>
      <c r="Q54" s="251"/>
      <c r="R54" s="203"/>
      <c r="S54" s="399"/>
    </row>
    <row r="55" spans="1:19" s="181" customFormat="1" ht="10.199999999999999" x14ac:dyDescent="0.2">
      <c r="A55" s="237"/>
      <c r="B55" s="240"/>
      <c r="C55" s="251"/>
      <c r="D55" s="251"/>
      <c r="E55" s="236"/>
      <c r="F55" s="236"/>
      <c r="G55" s="251"/>
      <c r="H55" s="251"/>
      <c r="I55" s="240"/>
      <c r="J55" s="240"/>
      <c r="K55" s="263"/>
      <c r="L55" s="263"/>
      <c r="M55" s="199" t="s">
        <v>46</v>
      </c>
      <c r="N55" s="251"/>
      <c r="O55" s="240"/>
      <c r="P55" s="240"/>
      <c r="Q55" s="251"/>
      <c r="R55" s="203"/>
      <c r="S55" s="399"/>
    </row>
    <row r="56" spans="1:19" s="181" customFormat="1" ht="10.199999999999999" x14ac:dyDescent="0.2">
      <c r="A56" s="237"/>
      <c r="B56" s="240"/>
      <c r="C56" s="251"/>
      <c r="D56" s="251"/>
      <c r="E56" s="236"/>
      <c r="F56" s="236"/>
      <c r="G56" s="251"/>
      <c r="H56" s="251"/>
      <c r="I56" s="240"/>
      <c r="J56" s="240"/>
      <c r="K56" s="263"/>
      <c r="L56" s="263"/>
      <c r="M56" s="211" t="s">
        <v>1245</v>
      </c>
      <c r="N56" s="251"/>
      <c r="O56" s="240"/>
      <c r="P56" s="240"/>
      <c r="Q56" s="251"/>
      <c r="R56" s="203"/>
      <c r="S56" s="399"/>
    </row>
    <row r="57" spans="1:19" s="181" customFormat="1" ht="10.199999999999999" x14ac:dyDescent="0.2">
      <c r="A57" s="237">
        <f>A51+1</f>
        <v>9</v>
      </c>
      <c r="B57" s="243">
        <v>44343</v>
      </c>
      <c r="C57" s="243" t="s">
        <v>486</v>
      </c>
      <c r="D57" s="236" t="s">
        <v>505</v>
      </c>
      <c r="E57" s="236" t="s">
        <v>958</v>
      </c>
      <c r="F57" s="236" t="s">
        <v>957</v>
      </c>
      <c r="G57" s="247" t="s">
        <v>506</v>
      </c>
      <c r="H57" s="247" t="s">
        <v>964</v>
      </c>
      <c r="I57" s="247" t="s">
        <v>509</v>
      </c>
      <c r="J57" s="248">
        <v>18.8</v>
      </c>
      <c r="K57" s="238">
        <f>S57*9</f>
        <v>113.79232209360846</v>
      </c>
      <c r="L57" s="238">
        <f>S57*3</f>
        <v>37.930774031202823</v>
      </c>
      <c r="M57" s="199" t="s">
        <v>42</v>
      </c>
      <c r="N57" s="250" t="s">
        <v>1157</v>
      </c>
      <c r="O57" s="262"/>
      <c r="P57" s="262"/>
      <c r="Q57" s="251"/>
      <c r="R57" s="203"/>
      <c r="S57" s="245">
        <f>14.5*J57*1*(1+0.1+0.5)*1.2*12/1987*4</f>
        <v>12.643591343734274</v>
      </c>
    </row>
    <row r="58" spans="1:19" s="181" customFormat="1" ht="20.399999999999999" x14ac:dyDescent="0.2">
      <c r="A58" s="237"/>
      <c r="B58" s="251"/>
      <c r="C58" s="251"/>
      <c r="D58" s="251"/>
      <c r="E58" s="236"/>
      <c r="F58" s="236"/>
      <c r="G58" s="251"/>
      <c r="H58" s="251"/>
      <c r="I58" s="240"/>
      <c r="J58" s="240"/>
      <c r="K58" s="263"/>
      <c r="L58" s="263"/>
      <c r="M58" s="199" t="s">
        <v>43</v>
      </c>
      <c r="N58" s="412"/>
      <c r="O58" s="262"/>
      <c r="P58" s="262"/>
      <c r="Q58" s="251"/>
      <c r="R58" s="203"/>
      <c r="S58" s="399"/>
    </row>
    <row r="59" spans="1:19" s="181" customFormat="1" ht="10.199999999999999" x14ac:dyDescent="0.2">
      <c r="A59" s="237"/>
      <c r="B59" s="251"/>
      <c r="C59" s="251"/>
      <c r="D59" s="251"/>
      <c r="E59" s="236"/>
      <c r="F59" s="236"/>
      <c r="G59" s="251"/>
      <c r="H59" s="251"/>
      <c r="I59" s="240"/>
      <c r="J59" s="240"/>
      <c r="K59" s="263"/>
      <c r="L59" s="263"/>
      <c r="M59" s="199" t="s">
        <v>44</v>
      </c>
      <c r="N59" s="412"/>
      <c r="O59" s="262"/>
      <c r="P59" s="262"/>
      <c r="Q59" s="251"/>
      <c r="R59" s="203"/>
      <c r="S59" s="399"/>
    </row>
    <row r="60" spans="1:19" s="181" customFormat="1" ht="10.199999999999999" x14ac:dyDescent="0.2">
      <c r="A60" s="237"/>
      <c r="B60" s="251"/>
      <c r="C60" s="251"/>
      <c r="D60" s="251"/>
      <c r="E60" s="236"/>
      <c r="F60" s="236"/>
      <c r="G60" s="251"/>
      <c r="H60" s="251"/>
      <c r="I60" s="240"/>
      <c r="J60" s="240"/>
      <c r="K60" s="263"/>
      <c r="L60" s="263"/>
      <c r="M60" s="199" t="s">
        <v>45</v>
      </c>
      <c r="N60" s="412"/>
      <c r="O60" s="262"/>
      <c r="P60" s="262"/>
      <c r="Q60" s="251"/>
      <c r="R60" s="203"/>
      <c r="S60" s="399"/>
    </row>
    <row r="61" spans="1:19" s="181" customFormat="1" ht="10.199999999999999" x14ac:dyDescent="0.2">
      <c r="A61" s="237"/>
      <c r="B61" s="251"/>
      <c r="C61" s="251"/>
      <c r="D61" s="251"/>
      <c r="E61" s="236"/>
      <c r="F61" s="236"/>
      <c r="G61" s="251"/>
      <c r="H61" s="251"/>
      <c r="I61" s="240"/>
      <c r="J61" s="240"/>
      <c r="K61" s="263"/>
      <c r="L61" s="263"/>
      <c r="M61" s="199" t="s">
        <v>46</v>
      </c>
      <c r="N61" s="412"/>
      <c r="O61" s="262"/>
      <c r="P61" s="262"/>
      <c r="Q61" s="251"/>
      <c r="R61" s="203"/>
      <c r="S61" s="399"/>
    </row>
    <row r="62" spans="1:19" s="181" customFormat="1" ht="10.199999999999999" x14ac:dyDescent="0.2">
      <c r="A62" s="237"/>
      <c r="B62" s="251"/>
      <c r="C62" s="251"/>
      <c r="D62" s="251"/>
      <c r="E62" s="236"/>
      <c r="F62" s="236"/>
      <c r="G62" s="251"/>
      <c r="H62" s="251"/>
      <c r="I62" s="240"/>
      <c r="J62" s="240"/>
      <c r="K62" s="263"/>
      <c r="L62" s="263"/>
      <c r="M62" s="211" t="s">
        <v>1245</v>
      </c>
      <c r="N62" s="412"/>
      <c r="O62" s="262"/>
      <c r="P62" s="262"/>
      <c r="Q62" s="251"/>
      <c r="R62" s="203"/>
      <c r="S62" s="399"/>
    </row>
    <row r="63" spans="1:19" s="181" customFormat="1" ht="10.199999999999999" x14ac:dyDescent="0.2">
      <c r="A63" s="237">
        <f>A57+1</f>
        <v>10</v>
      </c>
      <c r="B63" s="243">
        <v>44368</v>
      </c>
      <c r="C63" s="243" t="s">
        <v>486</v>
      </c>
      <c r="D63" s="236" t="s">
        <v>510</v>
      </c>
      <c r="E63" s="236" t="s">
        <v>958</v>
      </c>
      <c r="F63" s="236" t="s">
        <v>957</v>
      </c>
      <c r="G63" s="247" t="s">
        <v>511</v>
      </c>
      <c r="H63" s="247" t="s">
        <v>963</v>
      </c>
      <c r="I63" s="247" t="s">
        <v>514</v>
      </c>
      <c r="J63" s="248">
        <v>77.7</v>
      </c>
      <c r="K63" s="238">
        <f>S63*9</f>
        <v>293.9382788122798</v>
      </c>
      <c r="L63" s="238">
        <f>S63*3</f>
        <v>97.979426270759944</v>
      </c>
      <c r="M63" s="199" t="s">
        <v>42</v>
      </c>
      <c r="N63" s="236" t="s">
        <v>1149</v>
      </c>
      <c r="O63" s="237"/>
      <c r="P63" s="237"/>
      <c r="Q63" s="236"/>
      <c r="R63" s="203"/>
      <c r="S63" s="245">
        <f>14.5*J63*1*(1+0.5+0.5)*1.2*12/1987*2</f>
        <v>32.659808756919979</v>
      </c>
    </row>
    <row r="64" spans="1:19" s="181" customFormat="1" ht="22.5" customHeight="1" x14ac:dyDescent="0.2">
      <c r="A64" s="237"/>
      <c r="B64" s="237"/>
      <c r="C64" s="236"/>
      <c r="D64" s="236"/>
      <c r="E64" s="236"/>
      <c r="F64" s="236"/>
      <c r="G64" s="236"/>
      <c r="H64" s="236"/>
      <c r="I64" s="237"/>
      <c r="J64" s="237"/>
      <c r="K64" s="238"/>
      <c r="L64" s="238"/>
      <c r="M64" s="199" t="s">
        <v>43</v>
      </c>
      <c r="N64" s="236"/>
      <c r="O64" s="237"/>
      <c r="P64" s="237"/>
      <c r="Q64" s="236"/>
      <c r="R64" s="203"/>
      <c r="S64" s="252"/>
    </row>
    <row r="65" spans="1:19" s="181" customFormat="1" ht="10.199999999999999" x14ac:dyDescent="0.2">
      <c r="A65" s="237"/>
      <c r="B65" s="237"/>
      <c r="C65" s="236"/>
      <c r="D65" s="236"/>
      <c r="E65" s="236"/>
      <c r="F65" s="236"/>
      <c r="G65" s="236"/>
      <c r="H65" s="236"/>
      <c r="I65" s="237"/>
      <c r="J65" s="237"/>
      <c r="K65" s="238"/>
      <c r="L65" s="238"/>
      <c r="M65" s="199" t="s">
        <v>44</v>
      </c>
      <c r="N65" s="236"/>
      <c r="O65" s="237"/>
      <c r="P65" s="237"/>
      <c r="Q65" s="236"/>
      <c r="R65" s="203"/>
      <c r="S65" s="252"/>
    </row>
    <row r="66" spans="1:19" s="181" customFormat="1" ht="10.199999999999999" x14ac:dyDescent="0.2">
      <c r="A66" s="237"/>
      <c r="B66" s="237"/>
      <c r="C66" s="236"/>
      <c r="D66" s="236"/>
      <c r="E66" s="236"/>
      <c r="F66" s="236"/>
      <c r="G66" s="236"/>
      <c r="H66" s="236"/>
      <c r="I66" s="237"/>
      <c r="J66" s="237"/>
      <c r="K66" s="238"/>
      <c r="L66" s="238"/>
      <c r="M66" s="199" t="s">
        <v>45</v>
      </c>
      <c r="N66" s="236"/>
      <c r="O66" s="237"/>
      <c r="P66" s="237"/>
      <c r="Q66" s="236"/>
      <c r="R66" s="203"/>
      <c r="S66" s="252"/>
    </row>
    <row r="67" spans="1:19" s="181" customFormat="1" ht="10.199999999999999" x14ac:dyDescent="0.2">
      <c r="A67" s="237"/>
      <c r="B67" s="237"/>
      <c r="C67" s="236"/>
      <c r="D67" s="236"/>
      <c r="E67" s="236"/>
      <c r="F67" s="236"/>
      <c r="G67" s="236"/>
      <c r="H67" s="236"/>
      <c r="I67" s="237"/>
      <c r="J67" s="237"/>
      <c r="K67" s="238"/>
      <c r="L67" s="238"/>
      <c r="M67" s="199" t="s">
        <v>46</v>
      </c>
      <c r="N67" s="236"/>
      <c r="O67" s="237"/>
      <c r="P67" s="237"/>
      <c r="Q67" s="236"/>
      <c r="R67" s="203"/>
      <c r="S67" s="252"/>
    </row>
    <row r="68" spans="1:19" s="181" customFormat="1" ht="10.199999999999999" x14ac:dyDescent="0.2">
      <c r="A68" s="237"/>
      <c r="B68" s="237"/>
      <c r="C68" s="236"/>
      <c r="D68" s="236"/>
      <c r="E68" s="236"/>
      <c r="F68" s="236"/>
      <c r="G68" s="236"/>
      <c r="H68" s="236"/>
      <c r="I68" s="237"/>
      <c r="J68" s="237"/>
      <c r="K68" s="238"/>
      <c r="L68" s="238"/>
      <c r="M68" s="211" t="s">
        <v>1245</v>
      </c>
      <c r="N68" s="236"/>
      <c r="O68" s="237"/>
      <c r="P68" s="237"/>
      <c r="Q68" s="236"/>
      <c r="R68" s="203"/>
      <c r="S68" s="252"/>
    </row>
    <row r="69" spans="1:19" s="181" customFormat="1" ht="12.75" customHeight="1" x14ac:dyDescent="0.2">
      <c r="A69" s="237">
        <f>A63+1</f>
        <v>11</v>
      </c>
      <c r="B69" s="243">
        <v>44363</v>
      </c>
      <c r="C69" s="243">
        <v>46188</v>
      </c>
      <c r="D69" s="247" t="s">
        <v>524</v>
      </c>
      <c r="E69" s="236" t="s">
        <v>958</v>
      </c>
      <c r="F69" s="236" t="s">
        <v>957</v>
      </c>
      <c r="G69" s="247" t="s">
        <v>526</v>
      </c>
      <c r="H69" s="247" t="s">
        <v>962</v>
      </c>
      <c r="I69" s="247" t="s">
        <v>530</v>
      </c>
      <c r="J69" s="248">
        <v>22.7</v>
      </c>
      <c r="K69" s="238">
        <f>S69*9</f>
        <v>5332.23</v>
      </c>
      <c r="L69" s="238">
        <f>S69*3</f>
        <v>1777.4099999999999</v>
      </c>
      <c r="M69" s="199" t="s">
        <v>42</v>
      </c>
      <c r="N69" s="236" t="s">
        <v>1142</v>
      </c>
      <c r="O69" s="242"/>
      <c r="P69" s="247" t="s">
        <v>526</v>
      </c>
      <c r="Q69" s="251"/>
      <c r="R69" s="203"/>
      <c r="S69" s="400">
        <f>14.5*J69*1.2*(1+1.2+0.3)*0.6</f>
        <v>592.46999999999991</v>
      </c>
    </row>
    <row r="70" spans="1:19" s="181" customFormat="1" ht="20.25" customHeight="1" x14ac:dyDescent="0.2">
      <c r="A70" s="237"/>
      <c r="B70" s="240"/>
      <c r="C70" s="251"/>
      <c r="D70" s="251"/>
      <c r="E70" s="236"/>
      <c r="F70" s="236"/>
      <c r="G70" s="251"/>
      <c r="H70" s="251"/>
      <c r="I70" s="240"/>
      <c r="J70" s="240"/>
      <c r="K70" s="263"/>
      <c r="L70" s="263"/>
      <c r="M70" s="199" t="s">
        <v>43</v>
      </c>
      <c r="N70" s="242"/>
      <c r="O70" s="242"/>
      <c r="P70" s="251"/>
      <c r="Q70" s="251"/>
      <c r="R70" s="203"/>
      <c r="S70" s="401"/>
    </row>
    <row r="71" spans="1:19" s="181" customFormat="1" ht="11.25" customHeight="1" x14ac:dyDescent="0.2">
      <c r="A71" s="237"/>
      <c r="B71" s="240"/>
      <c r="C71" s="251"/>
      <c r="D71" s="251"/>
      <c r="E71" s="236"/>
      <c r="F71" s="236"/>
      <c r="G71" s="251"/>
      <c r="H71" s="251"/>
      <c r="I71" s="240"/>
      <c r="J71" s="240"/>
      <c r="K71" s="263"/>
      <c r="L71" s="263"/>
      <c r="M71" s="199" t="s">
        <v>44</v>
      </c>
      <c r="N71" s="242"/>
      <c r="O71" s="242"/>
      <c r="P71" s="251"/>
      <c r="Q71" s="251"/>
      <c r="R71" s="203"/>
      <c r="S71" s="401"/>
    </row>
    <row r="72" spans="1:19" s="181" customFormat="1" ht="11.25" customHeight="1" x14ac:dyDescent="0.2">
      <c r="A72" s="237"/>
      <c r="B72" s="240"/>
      <c r="C72" s="251"/>
      <c r="D72" s="251"/>
      <c r="E72" s="236"/>
      <c r="F72" s="236"/>
      <c r="G72" s="251"/>
      <c r="H72" s="251"/>
      <c r="I72" s="240"/>
      <c r="J72" s="240"/>
      <c r="K72" s="263"/>
      <c r="L72" s="263"/>
      <c r="M72" s="199" t="s">
        <v>45</v>
      </c>
      <c r="N72" s="242"/>
      <c r="O72" s="242"/>
      <c r="P72" s="251"/>
      <c r="Q72" s="251"/>
      <c r="R72" s="203"/>
      <c r="S72" s="401"/>
    </row>
    <row r="73" spans="1:19" s="181" customFormat="1" ht="11.25" customHeight="1" x14ac:dyDescent="0.2">
      <c r="A73" s="237"/>
      <c r="B73" s="240"/>
      <c r="C73" s="251"/>
      <c r="D73" s="251"/>
      <c r="E73" s="236"/>
      <c r="F73" s="236"/>
      <c r="G73" s="251"/>
      <c r="H73" s="251"/>
      <c r="I73" s="240"/>
      <c r="J73" s="240"/>
      <c r="K73" s="263"/>
      <c r="L73" s="263"/>
      <c r="M73" s="199" t="s">
        <v>46</v>
      </c>
      <c r="N73" s="242"/>
      <c r="O73" s="242"/>
      <c r="P73" s="251"/>
      <c r="Q73" s="251"/>
      <c r="R73" s="203"/>
      <c r="S73" s="401"/>
    </row>
    <row r="74" spans="1:19" s="181" customFormat="1" ht="11.25" customHeight="1" x14ac:dyDescent="0.2">
      <c r="A74" s="237"/>
      <c r="B74" s="240"/>
      <c r="C74" s="251"/>
      <c r="D74" s="251"/>
      <c r="E74" s="236"/>
      <c r="F74" s="236"/>
      <c r="G74" s="251"/>
      <c r="H74" s="251"/>
      <c r="I74" s="240"/>
      <c r="J74" s="240"/>
      <c r="K74" s="263"/>
      <c r="L74" s="263"/>
      <c r="M74" s="211" t="s">
        <v>1245</v>
      </c>
      <c r="N74" s="236" t="s">
        <v>1177</v>
      </c>
      <c r="O74" s="214"/>
      <c r="P74" s="251"/>
      <c r="Q74" s="251"/>
      <c r="R74" s="203"/>
      <c r="S74" s="401"/>
    </row>
    <row r="75" spans="1:19" s="181" customFormat="1" ht="10.199999999999999" x14ac:dyDescent="0.2">
      <c r="A75" s="237">
        <f>A69+1</f>
        <v>12</v>
      </c>
      <c r="B75" s="259">
        <v>44672</v>
      </c>
      <c r="C75" s="259">
        <v>44926</v>
      </c>
      <c r="D75" s="236" t="s">
        <v>1268</v>
      </c>
      <c r="E75" s="236" t="s">
        <v>958</v>
      </c>
      <c r="F75" s="236" t="s">
        <v>957</v>
      </c>
      <c r="G75" s="236" t="s">
        <v>550</v>
      </c>
      <c r="H75" s="236" t="s">
        <v>1280</v>
      </c>
      <c r="I75" s="236" t="s">
        <v>553</v>
      </c>
      <c r="J75" s="236">
        <v>63.5</v>
      </c>
      <c r="K75" s="238">
        <f>S75*9</f>
        <v>24820.473599999998</v>
      </c>
      <c r="L75" s="238">
        <f>S75*3</f>
        <v>8273.4912000000004</v>
      </c>
      <c r="M75" s="199" t="s">
        <v>42</v>
      </c>
      <c r="N75" s="188">
        <v>21053.919999999998</v>
      </c>
      <c r="O75" s="188">
        <v>852.21</v>
      </c>
      <c r="P75" s="236" t="s">
        <v>550</v>
      </c>
      <c r="Q75" s="236" t="s">
        <v>1269</v>
      </c>
      <c r="R75" s="203"/>
      <c r="S75" s="245">
        <f>14.5*J75*1.2*(1+1.2*0.9)*1.2</f>
        <v>2757.8303999999998</v>
      </c>
    </row>
    <row r="76" spans="1:19" s="181" customFormat="1" ht="20.399999999999999" x14ac:dyDescent="0.2">
      <c r="A76" s="237"/>
      <c r="B76" s="237"/>
      <c r="C76" s="236"/>
      <c r="D76" s="236"/>
      <c r="E76" s="236"/>
      <c r="F76" s="236"/>
      <c r="G76" s="236"/>
      <c r="H76" s="236"/>
      <c r="I76" s="237"/>
      <c r="J76" s="237"/>
      <c r="K76" s="238"/>
      <c r="L76" s="238"/>
      <c r="M76" s="199" t="s">
        <v>43</v>
      </c>
      <c r="N76" s="188">
        <v>860.96</v>
      </c>
      <c r="O76" s="188">
        <v>25.02</v>
      </c>
      <c r="P76" s="236"/>
      <c r="Q76" s="236"/>
      <c r="R76" s="203"/>
      <c r="S76" s="252"/>
    </row>
    <row r="77" spans="1:19" s="181" customFormat="1" ht="10.199999999999999" x14ac:dyDescent="0.2">
      <c r="A77" s="237"/>
      <c r="B77" s="237"/>
      <c r="C77" s="236"/>
      <c r="D77" s="236"/>
      <c r="E77" s="236"/>
      <c r="F77" s="236"/>
      <c r="G77" s="236"/>
      <c r="H77" s="236"/>
      <c r="I77" s="237"/>
      <c r="J77" s="237"/>
      <c r="K77" s="238"/>
      <c r="L77" s="238"/>
      <c r="M77" s="199" t="s">
        <v>44</v>
      </c>
      <c r="N77" s="188">
        <v>0</v>
      </c>
      <c r="O77" s="188">
        <v>0</v>
      </c>
      <c r="P77" s="236"/>
      <c r="Q77" s="236"/>
      <c r="R77" s="203"/>
      <c r="S77" s="252"/>
    </row>
    <row r="78" spans="1:19" s="181" customFormat="1" ht="10.199999999999999" x14ac:dyDescent="0.2">
      <c r="A78" s="237"/>
      <c r="B78" s="237"/>
      <c r="C78" s="236"/>
      <c r="D78" s="236"/>
      <c r="E78" s="236"/>
      <c r="F78" s="236"/>
      <c r="G78" s="236"/>
      <c r="H78" s="236"/>
      <c r="I78" s="237"/>
      <c r="J78" s="237"/>
      <c r="K78" s="238"/>
      <c r="L78" s="238"/>
      <c r="M78" s="199" t="s">
        <v>45</v>
      </c>
      <c r="N78" s="188">
        <v>22466.04</v>
      </c>
      <c r="O78" s="188">
        <v>0</v>
      </c>
      <c r="P78" s="236"/>
      <c r="Q78" s="236"/>
      <c r="R78" s="203"/>
      <c r="S78" s="252"/>
    </row>
    <row r="79" spans="1:19" s="181" customFormat="1" ht="10.199999999999999" x14ac:dyDescent="0.2">
      <c r="A79" s="237"/>
      <c r="B79" s="237"/>
      <c r="C79" s="236"/>
      <c r="D79" s="236"/>
      <c r="E79" s="236"/>
      <c r="F79" s="236"/>
      <c r="G79" s="236"/>
      <c r="H79" s="236"/>
      <c r="I79" s="237"/>
      <c r="J79" s="237"/>
      <c r="K79" s="238"/>
      <c r="L79" s="238"/>
      <c r="M79" s="199" t="s">
        <v>46</v>
      </c>
      <c r="N79" s="188">
        <v>0</v>
      </c>
      <c r="O79" s="188">
        <v>0</v>
      </c>
      <c r="P79" s="236"/>
      <c r="Q79" s="236"/>
      <c r="R79" s="203"/>
      <c r="S79" s="252"/>
    </row>
    <row r="80" spans="1:19" s="181" customFormat="1" ht="66.599999999999994" customHeight="1" x14ac:dyDescent="0.2">
      <c r="A80" s="237"/>
      <c r="B80" s="237"/>
      <c r="C80" s="236"/>
      <c r="D80" s="236"/>
      <c r="E80" s="236"/>
      <c r="F80" s="236"/>
      <c r="G80" s="236"/>
      <c r="H80" s="236"/>
      <c r="I80" s="244"/>
      <c r="J80" s="237"/>
      <c r="K80" s="238"/>
      <c r="L80" s="238"/>
      <c r="M80" s="211" t="s">
        <v>1245</v>
      </c>
      <c r="N80" s="236" t="s">
        <v>1177</v>
      </c>
      <c r="O80" s="214"/>
      <c r="P80" s="236"/>
      <c r="Q80" s="236"/>
      <c r="R80" s="203"/>
      <c r="S80" s="252"/>
    </row>
    <row r="81" spans="1:19" s="181" customFormat="1" ht="30.6" x14ac:dyDescent="0.2">
      <c r="A81" s="237">
        <f>A75+1</f>
        <v>13</v>
      </c>
      <c r="B81" s="259">
        <v>44523</v>
      </c>
      <c r="C81" s="259">
        <v>46348</v>
      </c>
      <c r="D81" s="236" t="s">
        <v>586</v>
      </c>
      <c r="E81" s="236" t="s">
        <v>958</v>
      </c>
      <c r="F81" s="236" t="s">
        <v>957</v>
      </c>
      <c r="G81" s="236" t="s">
        <v>588</v>
      </c>
      <c r="H81" s="198" t="s">
        <v>1276</v>
      </c>
      <c r="I81" s="236" t="s">
        <v>591</v>
      </c>
      <c r="J81" s="198">
        <v>11.6</v>
      </c>
      <c r="K81" s="197">
        <f>S81*9</f>
        <v>2724.8399999999992</v>
      </c>
      <c r="L81" s="197">
        <f t="shared" ref="L81:L87" si="2">S81*3</f>
        <v>908.27999999999975</v>
      </c>
      <c r="M81" s="199" t="s">
        <v>42</v>
      </c>
      <c r="N81" s="236" t="s">
        <v>1142</v>
      </c>
      <c r="O81" s="242"/>
      <c r="P81" s="236" t="s">
        <v>588</v>
      </c>
      <c r="Q81" s="236"/>
      <c r="R81" s="174"/>
      <c r="S81" s="202">
        <f>14.5*J81*1.2*(1+1.2+0.3)*0.6</f>
        <v>302.75999999999993</v>
      </c>
    </row>
    <row r="82" spans="1:19" s="181" customFormat="1" ht="30.6" x14ac:dyDescent="0.2">
      <c r="A82" s="237"/>
      <c r="B82" s="237"/>
      <c r="C82" s="237"/>
      <c r="D82" s="236"/>
      <c r="E82" s="236"/>
      <c r="F82" s="236"/>
      <c r="G82" s="236"/>
      <c r="H82" s="199" t="s">
        <v>1277</v>
      </c>
      <c r="I82" s="236"/>
      <c r="J82" s="198">
        <v>5.9</v>
      </c>
      <c r="K82" s="197">
        <f>S82*9</f>
        <v>1154.9250000000002</v>
      </c>
      <c r="L82" s="197">
        <f t="shared" si="2"/>
        <v>384.97500000000002</v>
      </c>
      <c r="M82" s="199" t="s">
        <v>43</v>
      </c>
      <c r="N82" s="242"/>
      <c r="O82" s="242"/>
      <c r="P82" s="236"/>
      <c r="Q82" s="236"/>
      <c r="R82" s="174"/>
      <c r="S82" s="202">
        <f>14.5*J82*1*(1+1.2+0.3)*0.6</f>
        <v>128.32500000000002</v>
      </c>
    </row>
    <row r="83" spans="1:19" s="181" customFormat="1" ht="30.6" x14ac:dyDescent="0.2">
      <c r="A83" s="237"/>
      <c r="B83" s="237"/>
      <c r="C83" s="237"/>
      <c r="D83" s="236"/>
      <c r="E83" s="236"/>
      <c r="F83" s="236"/>
      <c r="G83" s="236"/>
      <c r="H83" s="198" t="s">
        <v>1278</v>
      </c>
      <c r="I83" s="236"/>
      <c r="J83" s="198">
        <v>27.1</v>
      </c>
      <c r="K83" s="197">
        <f>S83*9</f>
        <v>6365.7900000000009</v>
      </c>
      <c r="L83" s="197">
        <f t="shared" si="2"/>
        <v>2121.9300000000003</v>
      </c>
      <c r="M83" s="199" t="s">
        <v>44</v>
      </c>
      <c r="N83" s="242"/>
      <c r="O83" s="242"/>
      <c r="P83" s="236"/>
      <c r="Q83" s="236"/>
      <c r="R83" s="174"/>
      <c r="S83" s="202">
        <f>14.5*J83*1.2*(1+1.2+0.3)*0.6</f>
        <v>707.31000000000006</v>
      </c>
    </row>
    <row r="84" spans="1:19" s="181" customFormat="1" ht="30.6" x14ac:dyDescent="0.2">
      <c r="A84" s="237"/>
      <c r="B84" s="237"/>
      <c r="C84" s="237"/>
      <c r="D84" s="236"/>
      <c r="E84" s="236"/>
      <c r="F84" s="236"/>
      <c r="G84" s="236"/>
      <c r="H84" s="198" t="s">
        <v>1279</v>
      </c>
      <c r="I84" s="236"/>
      <c r="J84" s="198">
        <v>24.3</v>
      </c>
      <c r="K84" s="197">
        <f>S84*9</f>
        <v>5708.0699999999988</v>
      </c>
      <c r="L84" s="197">
        <f t="shared" si="2"/>
        <v>1902.6899999999996</v>
      </c>
      <c r="M84" s="199" t="s">
        <v>45</v>
      </c>
      <c r="N84" s="242"/>
      <c r="O84" s="242"/>
      <c r="P84" s="236"/>
      <c r="Q84" s="236"/>
      <c r="R84" s="174"/>
      <c r="S84" s="202">
        <f>14.5*J84*1.2*(1+1.2+0.3)*0.6</f>
        <v>634.2299999999999</v>
      </c>
    </row>
    <row r="85" spans="1:19" s="181" customFormat="1" ht="10.199999999999999" x14ac:dyDescent="0.2">
      <c r="A85" s="237"/>
      <c r="B85" s="237"/>
      <c r="C85" s="237"/>
      <c r="D85" s="236"/>
      <c r="E85" s="236"/>
      <c r="F85" s="236"/>
      <c r="G85" s="236"/>
      <c r="H85" s="236" t="s">
        <v>961</v>
      </c>
      <c r="I85" s="236"/>
      <c r="J85" s="237">
        <v>18.899999999999999</v>
      </c>
      <c r="K85" s="238">
        <f>S86*9</f>
        <v>4439.6099999999988</v>
      </c>
      <c r="L85" s="238">
        <f>S86*3</f>
        <v>1479.8699999999997</v>
      </c>
      <c r="M85" s="199" t="s">
        <v>46</v>
      </c>
      <c r="N85" s="242"/>
      <c r="O85" s="242"/>
      <c r="P85" s="236"/>
      <c r="Q85" s="236"/>
      <c r="R85" s="174"/>
      <c r="S85" s="202"/>
    </row>
    <row r="86" spans="1:19" s="181" customFormat="1" ht="10.199999999999999" x14ac:dyDescent="0.2">
      <c r="A86" s="237"/>
      <c r="B86" s="237"/>
      <c r="C86" s="237"/>
      <c r="D86" s="236"/>
      <c r="E86" s="236"/>
      <c r="F86" s="236"/>
      <c r="G86" s="236"/>
      <c r="H86" s="236"/>
      <c r="I86" s="236"/>
      <c r="J86" s="237"/>
      <c r="K86" s="237"/>
      <c r="L86" s="237"/>
      <c r="M86" s="211" t="s">
        <v>1245</v>
      </c>
      <c r="N86" s="236" t="s">
        <v>1177</v>
      </c>
      <c r="O86" s="214"/>
      <c r="P86" s="236"/>
      <c r="Q86" s="236"/>
      <c r="R86" s="174"/>
      <c r="S86" s="202">
        <f>14.5*J85*1.2*(1+1.2+0.3)*0.6</f>
        <v>493.28999999999991</v>
      </c>
    </row>
    <row r="87" spans="1:19" s="181" customFormat="1" ht="10.199999999999999" x14ac:dyDescent="0.2">
      <c r="A87" s="237">
        <f>A81+1</f>
        <v>14</v>
      </c>
      <c r="B87" s="259">
        <v>43238</v>
      </c>
      <c r="C87" s="259">
        <v>45063</v>
      </c>
      <c r="D87" s="236" t="s">
        <v>601</v>
      </c>
      <c r="E87" s="236" t="s">
        <v>1123</v>
      </c>
      <c r="F87" s="236" t="s">
        <v>957</v>
      </c>
      <c r="G87" s="236" t="s">
        <v>168</v>
      </c>
      <c r="H87" s="236" t="s">
        <v>1206</v>
      </c>
      <c r="I87" s="236" t="s">
        <v>605</v>
      </c>
      <c r="J87" s="236">
        <v>33.299999999999997</v>
      </c>
      <c r="K87" s="238">
        <f t="shared" ref="K87" si="3">S87*6</f>
        <v>8872.0790400000005</v>
      </c>
      <c r="L87" s="238">
        <f t="shared" si="2"/>
        <v>4436.0395200000003</v>
      </c>
      <c r="M87" s="199" t="s">
        <v>42</v>
      </c>
      <c r="N87" s="236" t="s">
        <v>1142</v>
      </c>
      <c r="O87" s="251"/>
      <c r="P87" s="236" t="s">
        <v>1267</v>
      </c>
      <c r="Q87" s="251"/>
      <c r="R87" s="203"/>
      <c r="S87" s="245">
        <f>14.5*J87*1.1*(1+1.2*1.1)*1.2</f>
        <v>1478.67984</v>
      </c>
    </row>
    <row r="88" spans="1:19" s="181" customFormat="1" ht="22.5" customHeight="1" x14ac:dyDescent="0.2">
      <c r="A88" s="237"/>
      <c r="B88" s="240"/>
      <c r="C88" s="251"/>
      <c r="D88" s="251"/>
      <c r="E88" s="251"/>
      <c r="F88" s="236"/>
      <c r="G88" s="251"/>
      <c r="H88" s="251"/>
      <c r="I88" s="240"/>
      <c r="J88" s="240"/>
      <c r="K88" s="238"/>
      <c r="L88" s="239"/>
      <c r="M88" s="199" t="s">
        <v>43</v>
      </c>
      <c r="N88" s="251"/>
      <c r="O88" s="251"/>
      <c r="P88" s="265"/>
      <c r="Q88" s="251"/>
      <c r="R88" s="203"/>
      <c r="S88" s="399"/>
    </row>
    <row r="89" spans="1:19" s="181" customFormat="1" ht="10.199999999999999" x14ac:dyDescent="0.2">
      <c r="A89" s="237"/>
      <c r="B89" s="240"/>
      <c r="C89" s="251"/>
      <c r="D89" s="251"/>
      <c r="E89" s="251"/>
      <c r="F89" s="236"/>
      <c r="G89" s="251"/>
      <c r="H89" s="251"/>
      <c r="I89" s="240"/>
      <c r="J89" s="240"/>
      <c r="K89" s="238"/>
      <c r="L89" s="239"/>
      <c r="M89" s="199" t="s">
        <v>44</v>
      </c>
      <c r="N89" s="251"/>
      <c r="O89" s="251"/>
      <c r="P89" s="265"/>
      <c r="Q89" s="251"/>
      <c r="R89" s="203"/>
      <c r="S89" s="399"/>
    </row>
    <row r="90" spans="1:19" s="181" customFormat="1" ht="11.25" customHeight="1" x14ac:dyDescent="0.2">
      <c r="A90" s="237"/>
      <c r="B90" s="240"/>
      <c r="C90" s="251"/>
      <c r="D90" s="251"/>
      <c r="E90" s="251"/>
      <c r="F90" s="236"/>
      <c r="G90" s="251"/>
      <c r="H90" s="251"/>
      <c r="I90" s="240"/>
      <c r="J90" s="240"/>
      <c r="K90" s="238"/>
      <c r="L90" s="239"/>
      <c r="M90" s="199" t="s">
        <v>45</v>
      </c>
      <c r="N90" s="251"/>
      <c r="O90" s="251"/>
      <c r="P90" s="265"/>
      <c r="Q90" s="251"/>
      <c r="R90" s="203"/>
      <c r="S90" s="399"/>
    </row>
    <row r="91" spans="1:19" s="181" customFormat="1" ht="11.25" customHeight="1" x14ac:dyDescent="0.2">
      <c r="A91" s="237"/>
      <c r="B91" s="240"/>
      <c r="C91" s="251"/>
      <c r="D91" s="251"/>
      <c r="E91" s="251"/>
      <c r="F91" s="236"/>
      <c r="G91" s="251"/>
      <c r="H91" s="251"/>
      <c r="I91" s="240"/>
      <c r="J91" s="240"/>
      <c r="K91" s="238"/>
      <c r="L91" s="239"/>
      <c r="M91" s="199" t="s">
        <v>46</v>
      </c>
      <c r="N91" s="251"/>
      <c r="O91" s="251"/>
      <c r="P91" s="265"/>
      <c r="Q91" s="251"/>
      <c r="R91" s="203"/>
      <c r="S91" s="399"/>
    </row>
    <row r="92" spans="1:19" s="181" customFormat="1" ht="11.25" customHeight="1" x14ac:dyDescent="0.2">
      <c r="A92" s="237"/>
      <c r="B92" s="240"/>
      <c r="C92" s="251"/>
      <c r="D92" s="251"/>
      <c r="E92" s="251"/>
      <c r="F92" s="236"/>
      <c r="G92" s="251"/>
      <c r="H92" s="251"/>
      <c r="I92" s="240"/>
      <c r="J92" s="240"/>
      <c r="K92" s="238"/>
      <c r="L92" s="239"/>
      <c r="M92" s="211" t="s">
        <v>1245</v>
      </c>
      <c r="N92" s="251"/>
      <c r="O92" s="251"/>
      <c r="P92" s="265"/>
      <c r="Q92" s="251"/>
      <c r="R92" s="203"/>
      <c r="S92" s="399"/>
    </row>
    <row r="93" spans="1:19" s="181" customFormat="1" ht="10.199999999999999" x14ac:dyDescent="0.2">
      <c r="A93" s="237">
        <f>A87+1</f>
        <v>15</v>
      </c>
      <c r="B93" s="259">
        <v>44393</v>
      </c>
      <c r="C93" s="243" t="s">
        <v>486</v>
      </c>
      <c r="D93" s="236" t="s">
        <v>607</v>
      </c>
      <c r="E93" s="236" t="s">
        <v>1124</v>
      </c>
      <c r="F93" s="236" t="s">
        <v>957</v>
      </c>
      <c r="G93" s="236" t="s">
        <v>609</v>
      </c>
      <c r="H93" s="236" t="s">
        <v>1207</v>
      </c>
      <c r="I93" s="236" t="s">
        <v>612</v>
      </c>
      <c r="J93" s="236">
        <v>24.5</v>
      </c>
      <c r="K93" s="238">
        <f>S93*9</f>
        <v>11893.77</v>
      </c>
      <c r="L93" s="238">
        <f>S93*3</f>
        <v>3964.59</v>
      </c>
      <c r="M93" s="199" t="s">
        <v>42</v>
      </c>
      <c r="N93" s="236" t="s">
        <v>1150</v>
      </c>
      <c r="O93" s="240"/>
      <c r="P93" s="240"/>
      <c r="Q93" s="251"/>
      <c r="R93" s="203"/>
      <c r="S93" s="245">
        <f>14.5*J93*1*(1+1.2+0.9)*1.2</f>
        <v>1321.53</v>
      </c>
    </row>
    <row r="94" spans="1:19" s="181" customFormat="1" ht="21.75" customHeight="1" x14ac:dyDescent="0.2">
      <c r="A94" s="237"/>
      <c r="B94" s="240"/>
      <c r="C94" s="251"/>
      <c r="D94" s="251"/>
      <c r="E94" s="251"/>
      <c r="F94" s="236"/>
      <c r="G94" s="251"/>
      <c r="H94" s="251"/>
      <c r="I94" s="240"/>
      <c r="J94" s="240"/>
      <c r="K94" s="238"/>
      <c r="L94" s="239"/>
      <c r="M94" s="199" t="s">
        <v>43</v>
      </c>
      <c r="N94" s="251"/>
      <c r="O94" s="240"/>
      <c r="P94" s="240"/>
      <c r="Q94" s="251"/>
      <c r="R94" s="203"/>
      <c r="S94" s="399"/>
    </row>
    <row r="95" spans="1:19" s="181" customFormat="1" ht="10.199999999999999" x14ac:dyDescent="0.2">
      <c r="A95" s="237"/>
      <c r="B95" s="240"/>
      <c r="C95" s="251"/>
      <c r="D95" s="251"/>
      <c r="E95" s="251"/>
      <c r="F95" s="236"/>
      <c r="G95" s="251"/>
      <c r="H95" s="251"/>
      <c r="I95" s="240"/>
      <c r="J95" s="240"/>
      <c r="K95" s="238"/>
      <c r="L95" s="239"/>
      <c r="M95" s="199" t="s">
        <v>44</v>
      </c>
      <c r="N95" s="251"/>
      <c r="O95" s="240"/>
      <c r="P95" s="240"/>
      <c r="Q95" s="251"/>
      <c r="R95" s="203"/>
      <c r="S95" s="399"/>
    </row>
    <row r="96" spans="1:19" s="181" customFormat="1" ht="10.199999999999999" x14ac:dyDescent="0.2">
      <c r="A96" s="237"/>
      <c r="B96" s="240"/>
      <c r="C96" s="251"/>
      <c r="D96" s="251"/>
      <c r="E96" s="251"/>
      <c r="F96" s="236"/>
      <c r="G96" s="251"/>
      <c r="H96" s="251"/>
      <c r="I96" s="240"/>
      <c r="J96" s="240"/>
      <c r="K96" s="238"/>
      <c r="L96" s="239"/>
      <c r="M96" s="199" t="s">
        <v>45</v>
      </c>
      <c r="N96" s="251"/>
      <c r="O96" s="240"/>
      <c r="P96" s="240"/>
      <c r="Q96" s="251"/>
      <c r="R96" s="203"/>
      <c r="S96" s="399"/>
    </row>
    <row r="97" spans="1:19" s="181" customFormat="1" ht="13.5" customHeight="1" x14ac:dyDescent="0.2">
      <c r="A97" s="237"/>
      <c r="B97" s="240"/>
      <c r="C97" s="251"/>
      <c r="D97" s="251"/>
      <c r="E97" s="251"/>
      <c r="F97" s="236"/>
      <c r="G97" s="251"/>
      <c r="H97" s="251"/>
      <c r="I97" s="240"/>
      <c r="J97" s="240"/>
      <c r="K97" s="238"/>
      <c r="L97" s="239"/>
      <c r="M97" s="199" t="s">
        <v>46</v>
      </c>
      <c r="N97" s="251"/>
      <c r="O97" s="240"/>
      <c r="P97" s="240"/>
      <c r="Q97" s="251"/>
      <c r="R97" s="203"/>
      <c r="S97" s="399"/>
    </row>
    <row r="98" spans="1:19" s="181" customFormat="1" ht="11.25" customHeight="1" x14ac:dyDescent="0.2">
      <c r="A98" s="237"/>
      <c r="B98" s="240"/>
      <c r="C98" s="251"/>
      <c r="D98" s="251"/>
      <c r="E98" s="251"/>
      <c r="F98" s="236"/>
      <c r="G98" s="251"/>
      <c r="H98" s="251"/>
      <c r="I98" s="240"/>
      <c r="J98" s="240"/>
      <c r="K98" s="238"/>
      <c r="L98" s="239"/>
      <c r="M98" s="211" t="s">
        <v>1245</v>
      </c>
      <c r="N98" s="251"/>
      <c r="O98" s="240"/>
      <c r="P98" s="240"/>
      <c r="Q98" s="251"/>
      <c r="R98" s="203"/>
      <c r="S98" s="399"/>
    </row>
    <row r="99" spans="1:19" s="181" customFormat="1" ht="10.199999999999999" x14ac:dyDescent="0.2">
      <c r="A99" s="237">
        <f>A93+1</f>
        <v>16</v>
      </c>
      <c r="B99" s="259">
        <v>44399</v>
      </c>
      <c r="C99" s="243" t="s">
        <v>486</v>
      </c>
      <c r="D99" s="236" t="s">
        <v>613</v>
      </c>
      <c r="E99" s="236" t="s">
        <v>1124</v>
      </c>
      <c r="F99" s="236" t="s">
        <v>957</v>
      </c>
      <c r="G99" s="236" t="s">
        <v>614</v>
      </c>
      <c r="H99" s="236" t="s">
        <v>975</v>
      </c>
      <c r="I99" s="236" t="s">
        <v>616</v>
      </c>
      <c r="J99" s="236">
        <v>17</v>
      </c>
      <c r="K99" s="238">
        <f>S99*9</f>
        <v>99.631629778672021</v>
      </c>
      <c r="L99" s="238">
        <f>S99*3</f>
        <v>33.21054325955734</v>
      </c>
      <c r="M99" s="199" t="s">
        <v>42</v>
      </c>
      <c r="N99" s="236" t="s">
        <v>1150</v>
      </c>
      <c r="O99" s="240"/>
      <c r="P99" s="240"/>
      <c r="Q99" s="251"/>
      <c r="R99" s="203"/>
      <c r="S99" s="402">
        <f>14.5*J99*1*(1+1.2+0.9)*1.2*12/1988*2</f>
        <v>11.070181086519113</v>
      </c>
    </row>
    <row r="100" spans="1:19" s="181" customFormat="1" ht="20.399999999999999" x14ac:dyDescent="0.2">
      <c r="A100" s="237"/>
      <c r="B100" s="240"/>
      <c r="C100" s="251"/>
      <c r="D100" s="251"/>
      <c r="E100" s="251"/>
      <c r="F100" s="236"/>
      <c r="G100" s="251"/>
      <c r="H100" s="251"/>
      <c r="I100" s="240"/>
      <c r="J100" s="240"/>
      <c r="K100" s="238"/>
      <c r="L100" s="239"/>
      <c r="M100" s="199" t="s">
        <v>43</v>
      </c>
      <c r="N100" s="251"/>
      <c r="O100" s="240"/>
      <c r="P100" s="240"/>
      <c r="Q100" s="251"/>
      <c r="R100" s="203"/>
      <c r="S100" s="399"/>
    </row>
    <row r="101" spans="1:19" s="181" customFormat="1" ht="10.199999999999999" x14ac:dyDescent="0.2">
      <c r="A101" s="237"/>
      <c r="B101" s="240"/>
      <c r="C101" s="251"/>
      <c r="D101" s="251"/>
      <c r="E101" s="251"/>
      <c r="F101" s="236"/>
      <c r="G101" s="251"/>
      <c r="H101" s="251"/>
      <c r="I101" s="240"/>
      <c r="J101" s="240"/>
      <c r="K101" s="238"/>
      <c r="L101" s="239"/>
      <c r="M101" s="199" t="s">
        <v>44</v>
      </c>
      <c r="N101" s="251"/>
      <c r="O101" s="240"/>
      <c r="P101" s="240"/>
      <c r="Q101" s="251"/>
      <c r="R101" s="203"/>
      <c r="S101" s="399"/>
    </row>
    <row r="102" spans="1:19" s="181" customFormat="1" ht="10.199999999999999" x14ac:dyDescent="0.2">
      <c r="A102" s="237"/>
      <c r="B102" s="240"/>
      <c r="C102" s="251"/>
      <c r="D102" s="251"/>
      <c r="E102" s="251"/>
      <c r="F102" s="236"/>
      <c r="G102" s="251"/>
      <c r="H102" s="251"/>
      <c r="I102" s="240"/>
      <c r="J102" s="240"/>
      <c r="K102" s="238"/>
      <c r="L102" s="239"/>
      <c r="M102" s="199" t="s">
        <v>45</v>
      </c>
      <c r="N102" s="251"/>
      <c r="O102" s="240"/>
      <c r="P102" s="240"/>
      <c r="Q102" s="251"/>
      <c r="R102" s="203"/>
      <c r="S102" s="399"/>
    </row>
    <row r="103" spans="1:19" s="181" customFormat="1" ht="10.199999999999999" x14ac:dyDescent="0.2">
      <c r="A103" s="237"/>
      <c r="B103" s="240"/>
      <c r="C103" s="251"/>
      <c r="D103" s="251"/>
      <c r="E103" s="251"/>
      <c r="F103" s="236"/>
      <c r="G103" s="251"/>
      <c r="H103" s="251"/>
      <c r="I103" s="240"/>
      <c r="J103" s="240"/>
      <c r="K103" s="238"/>
      <c r="L103" s="239"/>
      <c r="M103" s="199" t="s">
        <v>46</v>
      </c>
      <c r="N103" s="251"/>
      <c r="O103" s="240"/>
      <c r="P103" s="240"/>
      <c r="Q103" s="251"/>
      <c r="R103" s="203"/>
      <c r="S103" s="399"/>
    </row>
    <row r="104" spans="1:19" s="181" customFormat="1" ht="10.199999999999999" x14ac:dyDescent="0.2">
      <c r="A104" s="237"/>
      <c r="B104" s="240"/>
      <c r="C104" s="251"/>
      <c r="D104" s="251"/>
      <c r="E104" s="251"/>
      <c r="F104" s="236"/>
      <c r="G104" s="251"/>
      <c r="H104" s="251"/>
      <c r="I104" s="240"/>
      <c r="J104" s="240"/>
      <c r="K104" s="238"/>
      <c r="L104" s="239"/>
      <c r="M104" s="211" t="s">
        <v>1245</v>
      </c>
      <c r="N104" s="251"/>
      <c r="O104" s="240"/>
      <c r="P104" s="240"/>
      <c r="Q104" s="251"/>
      <c r="R104" s="203"/>
      <c r="S104" s="399"/>
    </row>
    <row r="105" spans="1:19" s="181" customFormat="1" ht="10.199999999999999" x14ac:dyDescent="0.2">
      <c r="A105" s="237">
        <f>A99+1</f>
        <v>17</v>
      </c>
      <c r="B105" s="259">
        <v>43258</v>
      </c>
      <c r="C105" s="259">
        <v>45083</v>
      </c>
      <c r="D105" s="236" t="s">
        <v>617</v>
      </c>
      <c r="E105" s="236" t="s">
        <v>1213</v>
      </c>
      <c r="F105" s="236" t="s">
        <v>957</v>
      </c>
      <c r="G105" s="236" t="s">
        <v>820</v>
      </c>
      <c r="H105" s="236" t="s">
        <v>1208</v>
      </c>
      <c r="I105" s="236" t="s">
        <v>116</v>
      </c>
      <c r="J105" s="241">
        <v>1612.1</v>
      </c>
      <c r="K105" s="238">
        <f>S105*9</f>
        <v>939132.07919999992</v>
      </c>
      <c r="L105" s="238">
        <f>S105*3</f>
        <v>313044.02639999997</v>
      </c>
      <c r="M105" s="199" t="s">
        <v>42</v>
      </c>
      <c r="N105" s="236" t="s">
        <v>1142</v>
      </c>
      <c r="O105" s="242"/>
      <c r="P105" s="241" t="s">
        <v>820</v>
      </c>
      <c r="Q105" s="251"/>
      <c r="R105" s="203"/>
      <c r="S105" s="245">
        <f>14.5*J105*1.2*(1+1.2+0.9)*1.2</f>
        <v>104348.0088</v>
      </c>
    </row>
    <row r="106" spans="1:19" s="181" customFormat="1" ht="20.399999999999999" x14ac:dyDescent="0.2">
      <c r="A106" s="237"/>
      <c r="B106" s="240"/>
      <c r="C106" s="251"/>
      <c r="D106" s="251"/>
      <c r="E106" s="413"/>
      <c r="F106" s="236"/>
      <c r="G106" s="251"/>
      <c r="H106" s="251"/>
      <c r="I106" s="240"/>
      <c r="J106" s="240"/>
      <c r="K106" s="239"/>
      <c r="L106" s="239"/>
      <c r="M106" s="199" t="s">
        <v>43</v>
      </c>
      <c r="N106" s="242"/>
      <c r="O106" s="242"/>
      <c r="P106" s="267"/>
      <c r="Q106" s="251"/>
      <c r="R106" s="203"/>
      <c r="S106" s="399"/>
    </row>
    <row r="107" spans="1:19" s="181" customFormat="1" ht="10.199999999999999" x14ac:dyDescent="0.2">
      <c r="A107" s="237"/>
      <c r="B107" s="240"/>
      <c r="C107" s="251"/>
      <c r="D107" s="251"/>
      <c r="E107" s="413"/>
      <c r="F107" s="236"/>
      <c r="G107" s="251"/>
      <c r="H107" s="251"/>
      <c r="I107" s="240"/>
      <c r="J107" s="240"/>
      <c r="K107" s="239"/>
      <c r="L107" s="239"/>
      <c r="M107" s="199" t="s">
        <v>44</v>
      </c>
      <c r="N107" s="242"/>
      <c r="O107" s="242"/>
      <c r="P107" s="267"/>
      <c r="Q107" s="251"/>
      <c r="R107" s="203"/>
      <c r="S107" s="399"/>
    </row>
    <row r="108" spans="1:19" s="181" customFormat="1" ht="10.199999999999999" x14ac:dyDescent="0.2">
      <c r="A108" s="237"/>
      <c r="B108" s="240"/>
      <c r="C108" s="251"/>
      <c r="D108" s="251"/>
      <c r="E108" s="413"/>
      <c r="F108" s="236"/>
      <c r="G108" s="251"/>
      <c r="H108" s="251"/>
      <c r="I108" s="240"/>
      <c r="J108" s="240"/>
      <c r="K108" s="239"/>
      <c r="L108" s="239"/>
      <c r="M108" s="199" t="s">
        <v>45</v>
      </c>
      <c r="N108" s="242"/>
      <c r="O108" s="242"/>
      <c r="P108" s="267"/>
      <c r="Q108" s="251"/>
      <c r="R108" s="203"/>
      <c r="S108" s="399"/>
    </row>
    <row r="109" spans="1:19" s="181" customFormat="1" ht="10.199999999999999" x14ac:dyDescent="0.2">
      <c r="A109" s="237"/>
      <c r="B109" s="240"/>
      <c r="C109" s="251"/>
      <c r="D109" s="251"/>
      <c r="E109" s="413"/>
      <c r="F109" s="236"/>
      <c r="G109" s="251"/>
      <c r="H109" s="251"/>
      <c r="I109" s="240"/>
      <c r="J109" s="240"/>
      <c r="K109" s="239"/>
      <c r="L109" s="239"/>
      <c r="M109" s="199" t="s">
        <v>46</v>
      </c>
      <c r="N109" s="242"/>
      <c r="O109" s="242"/>
      <c r="P109" s="267"/>
      <c r="Q109" s="251"/>
      <c r="R109" s="203"/>
      <c r="S109" s="399"/>
    </row>
    <row r="110" spans="1:19" s="181" customFormat="1" ht="10.199999999999999" x14ac:dyDescent="0.2">
      <c r="A110" s="237"/>
      <c r="B110" s="240"/>
      <c r="C110" s="251"/>
      <c r="D110" s="251"/>
      <c r="E110" s="413"/>
      <c r="F110" s="236"/>
      <c r="G110" s="251"/>
      <c r="H110" s="251"/>
      <c r="I110" s="240"/>
      <c r="J110" s="240"/>
      <c r="K110" s="239"/>
      <c r="L110" s="239"/>
      <c r="M110" s="211" t="s">
        <v>1245</v>
      </c>
      <c r="N110" s="236" t="s">
        <v>1177</v>
      </c>
      <c r="O110" s="214"/>
      <c r="P110" s="267"/>
      <c r="Q110" s="251"/>
      <c r="R110" s="203"/>
      <c r="S110" s="399"/>
    </row>
    <row r="111" spans="1:19" s="181" customFormat="1" ht="10.199999999999999" x14ac:dyDescent="0.2">
      <c r="A111" s="237">
        <f>A105+1</f>
        <v>18</v>
      </c>
      <c r="B111" s="259">
        <v>43258</v>
      </c>
      <c r="C111" s="259">
        <v>45083</v>
      </c>
      <c r="D111" s="236" t="s">
        <v>617</v>
      </c>
      <c r="E111" s="236" t="s">
        <v>1213</v>
      </c>
      <c r="F111" s="236" t="s">
        <v>957</v>
      </c>
      <c r="G111" s="236" t="s">
        <v>820</v>
      </c>
      <c r="H111" s="236" t="s">
        <v>976</v>
      </c>
      <c r="I111" s="236" t="s">
        <v>629</v>
      </c>
      <c r="J111" s="241">
        <v>510.4</v>
      </c>
      <c r="K111" s="238">
        <f>S111*9</f>
        <v>297334.54079999996</v>
      </c>
      <c r="L111" s="238">
        <f>S111*3</f>
        <v>99111.513599999991</v>
      </c>
      <c r="M111" s="199" t="s">
        <v>42</v>
      </c>
      <c r="N111" s="236" t="s">
        <v>1142</v>
      </c>
      <c r="O111" s="242"/>
      <c r="P111" s="241" t="s">
        <v>820</v>
      </c>
      <c r="Q111" s="251"/>
      <c r="R111" s="203"/>
      <c r="S111" s="245">
        <f>14.5*J111*1.2*(1+1.2+0.9)*1.2</f>
        <v>33037.171199999997</v>
      </c>
    </row>
    <row r="112" spans="1:19" s="181" customFormat="1" ht="20.399999999999999" x14ac:dyDescent="0.2">
      <c r="A112" s="237"/>
      <c r="B112" s="265"/>
      <c r="C112" s="251"/>
      <c r="D112" s="251"/>
      <c r="E112" s="413"/>
      <c r="F112" s="236"/>
      <c r="G112" s="251"/>
      <c r="H112" s="251"/>
      <c r="I112" s="251"/>
      <c r="J112" s="251"/>
      <c r="K112" s="239"/>
      <c r="L112" s="239"/>
      <c r="M112" s="199" t="s">
        <v>43</v>
      </c>
      <c r="N112" s="242"/>
      <c r="O112" s="242"/>
      <c r="P112" s="267"/>
      <c r="Q112" s="251"/>
      <c r="R112" s="203"/>
      <c r="S112" s="399"/>
    </row>
    <row r="113" spans="1:19" s="181" customFormat="1" ht="10.199999999999999" x14ac:dyDescent="0.2">
      <c r="A113" s="237"/>
      <c r="B113" s="265"/>
      <c r="C113" s="251"/>
      <c r="D113" s="251"/>
      <c r="E113" s="413"/>
      <c r="F113" s="236"/>
      <c r="G113" s="251"/>
      <c r="H113" s="251"/>
      <c r="I113" s="251"/>
      <c r="J113" s="251"/>
      <c r="K113" s="239"/>
      <c r="L113" s="239"/>
      <c r="M113" s="199" t="s">
        <v>44</v>
      </c>
      <c r="N113" s="242"/>
      <c r="O113" s="242"/>
      <c r="P113" s="267"/>
      <c r="Q113" s="251"/>
      <c r="R113" s="203"/>
      <c r="S113" s="399"/>
    </row>
    <row r="114" spans="1:19" s="181" customFormat="1" ht="10.199999999999999" x14ac:dyDescent="0.2">
      <c r="A114" s="237"/>
      <c r="B114" s="265"/>
      <c r="C114" s="251"/>
      <c r="D114" s="251"/>
      <c r="E114" s="413"/>
      <c r="F114" s="236"/>
      <c r="G114" s="251"/>
      <c r="H114" s="251"/>
      <c r="I114" s="251"/>
      <c r="J114" s="251"/>
      <c r="K114" s="239"/>
      <c r="L114" s="239"/>
      <c r="M114" s="199" t="s">
        <v>45</v>
      </c>
      <c r="N114" s="242"/>
      <c r="O114" s="242"/>
      <c r="P114" s="267"/>
      <c r="Q114" s="251"/>
      <c r="R114" s="203"/>
      <c r="S114" s="399"/>
    </row>
    <row r="115" spans="1:19" s="181" customFormat="1" ht="10.199999999999999" x14ac:dyDescent="0.2">
      <c r="A115" s="237"/>
      <c r="B115" s="265"/>
      <c r="C115" s="251"/>
      <c r="D115" s="251"/>
      <c r="E115" s="413"/>
      <c r="F115" s="236"/>
      <c r="G115" s="251"/>
      <c r="H115" s="251"/>
      <c r="I115" s="251"/>
      <c r="J115" s="251"/>
      <c r="K115" s="239"/>
      <c r="L115" s="239"/>
      <c r="M115" s="199" t="s">
        <v>46</v>
      </c>
      <c r="N115" s="242"/>
      <c r="O115" s="242"/>
      <c r="P115" s="267"/>
      <c r="Q115" s="251"/>
      <c r="R115" s="203"/>
      <c r="S115" s="399"/>
    </row>
    <row r="116" spans="1:19" s="181" customFormat="1" ht="10.199999999999999" x14ac:dyDescent="0.2">
      <c r="A116" s="237"/>
      <c r="B116" s="265"/>
      <c r="C116" s="251"/>
      <c r="D116" s="251"/>
      <c r="E116" s="413"/>
      <c r="F116" s="236"/>
      <c r="G116" s="251"/>
      <c r="H116" s="251"/>
      <c r="I116" s="251"/>
      <c r="J116" s="251"/>
      <c r="K116" s="239"/>
      <c r="L116" s="239"/>
      <c r="M116" s="211" t="s">
        <v>1245</v>
      </c>
      <c r="N116" s="236" t="s">
        <v>1177</v>
      </c>
      <c r="O116" s="214"/>
      <c r="P116" s="267"/>
      <c r="Q116" s="251"/>
      <c r="R116" s="203"/>
      <c r="S116" s="399"/>
    </row>
    <row r="117" spans="1:19" s="181" customFormat="1" ht="10.199999999999999" x14ac:dyDescent="0.2">
      <c r="A117" s="237">
        <f>A111+1</f>
        <v>19</v>
      </c>
      <c r="B117" s="259">
        <v>43838</v>
      </c>
      <c r="C117" s="259">
        <v>44933</v>
      </c>
      <c r="D117" s="236" t="s">
        <v>630</v>
      </c>
      <c r="E117" s="236" t="s">
        <v>1213</v>
      </c>
      <c r="F117" s="236" t="s">
        <v>957</v>
      </c>
      <c r="G117" s="236" t="s">
        <v>820</v>
      </c>
      <c r="H117" s="236" t="s">
        <v>977</v>
      </c>
      <c r="I117" s="236" t="s">
        <v>629</v>
      </c>
      <c r="J117" s="241">
        <v>518.9</v>
      </c>
      <c r="K117" s="238">
        <f>S117*9</f>
        <v>302286.23279999994</v>
      </c>
      <c r="L117" s="238">
        <f>S117*3</f>
        <v>100762.07759999998</v>
      </c>
      <c r="M117" s="199" t="s">
        <v>42</v>
      </c>
      <c r="N117" s="236" t="s">
        <v>1142</v>
      </c>
      <c r="O117" s="242"/>
      <c r="P117" s="241" t="s">
        <v>820</v>
      </c>
      <c r="Q117" s="251"/>
      <c r="R117" s="203"/>
      <c r="S117" s="245">
        <f>14.5*J117*1.2*(1+1.2+0.9)*1.2</f>
        <v>33587.359199999992</v>
      </c>
    </row>
    <row r="118" spans="1:19" s="181" customFormat="1" ht="20.399999999999999" x14ac:dyDescent="0.2">
      <c r="A118" s="237"/>
      <c r="B118" s="240"/>
      <c r="C118" s="251"/>
      <c r="D118" s="251"/>
      <c r="E118" s="413"/>
      <c r="F118" s="236"/>
      <c r="G118" s="251"/>
      <c r="H118" s="251"/>
      <c r="I118" s="240"/>
      <c r="J118" s="240"/>
      <c r="K118" s="239"/>
      <c r="L118" s="239"/>
      <c r="M118" s="199" t="s">
        <v>43</v>
      </c>
      <c r="N118" s="242"/>
      <c r="O118" s="242"/>
      <c r="P118" s="267"/>
      <c r="Q118" s="251"/>
      <c r="R118" s="203"/>
      <c r="S118" s="399"/>
    </row>
    <row r="119" spans="1:19" s="181" customFormat="1" ht="10.199999999999999" x14ac:dyDescent="0.2">
      <c r="A119" s="237"/>
      <c r="B119" s="240"/>
      <c r="C119" s="251"/>
      <c r="D119" s="251"/>
      <c r="E119" s="413"/>
      <c r="F119" s="236"/>
      <c r="G119" s="251"/>
      <c r="H119" s="251"/>
      <c r="I119" s="240"/>
      <c r="J119" s="240"/>
      <c r="K119" s="239"/>
      <c r="L119" s="239"/>
      <c r="M119" s="199" t="s">
        <v>44</v>
      </c>
      <c r="N119" s="242"/>
      <c r="O119" s="242"/>
      <c r="P119" s="267"/>
      <c r="Q119" s="251"/>
      <c r="R119" s="203"/>
      <c r="S119" s="399"/>
    </row>
    <row r="120" spans="1:19" s="181" customFormat="1" ht="10.199999999999999" x14ac:dyDescent="0.2">
      <c r="A120" s="237"/>
      <c r="B120" s="240"/>
      <c r="C120" s="251"/>
      <c r="D120" s="251"/>
      <c r="E120" s="413"/>
      <c r="F120" s="236"/>
      <c r="G120" s="251"/>
      <c r="H120" s="251"/>
      <c r="I120" s="240"/>
      <c r="J120" s="240"/>
      <c r="K120" s="239"/>
      <c r="L120" s="239"/>
      <c r="M120" s="199" t="s">
        <v>45</v>
      </c>
      <c r="N120" s="242"/>
      <c r="O120" s="242"/>
      <c r="P120" s="267"/>
      <c r="Q120" s="251"/>
      <c r="R120" s="203"/>
      <c r="S120" s="399"/>
    </row>
    <row r="121" spans="1:19" s="181" customFormat="1" ht="10.199999999999999" x14ac:dyDescent="0.2">
      <c r="A121" s="237"/>
      <c r="B121" s="240"/>
      <c r="C121" s="251"/>
      <c r="D121" s="251"/>
      <c r="E121" s="413"/>
      <c r="F121" s="236"/>
      <c r="G121" s="251"/>
      <c r="H121" s="251"/>
      <c r="I121" s="240"/>
      <c r="J121" s="240"/>
      <c r="K121" s="239"/>
      <c r="L121" s="239"/>
      <c r="M121" s="199" t="s">
        <v>46</v>
      </c>
      <c r="N121" s="242"/>
      <c r="O121" s="242"/>
      <c r="P121" s="267"/>
      <c r="Q121" s="251"/>
      <c r="R121" s="203"/>
      <c r="S121" s="399"/>
    </row>
    <row r="122" spans="1:19" s="181" customFormat="1" ht="10.199999999999999" x14ac:dyDescent="0.2">
      <c r="A122" s="237"/>
      <c r="B122" s="240"/>
      <c r="C122" s="251"/>
      <c r="D122" s="251"/>
      <c r="E122" s="413"/>
      <c r="F122" s="236"/>
      <c r="G122" s="251"/>
      <c r="H122" s="251"/>
      <c r="I122" s="240"/>
      <c r="J122" s="240"/>
      <c r="K122" s="239"/>
      <c r="L122" s="239"/>
      <c r="M122" s="211" t="s">
        <v>1245</v>
      </c>
      <c r="N122" s="236" t="s">
        <v>1177</v>
      </c>
      <c r="O122" s="214"/>
      <c r="P122" s="267"/>
      <c r="Q122" s="251"/>
      <c r="R122" s="203"/>
      <c r="S122" s="399"/>
    </row>
    <row r="123" spans="1:19" s="181" customFormat="1" ht="10.199999999999999" x14ac:dyDescent="0.2">
      <c r="A123" s="237">
        <f>A117+1</f>
        <v>20</v>
      </c>
      <c r="B123" s="259">
        <v>44428</v>
      </c>
      <c r="C123" s="259">
        <v>45157</v>
      </c>
      <c r="D123" s="236" t="s">
        <v>632</v>
      </c>
      <c r="E123" s="236" t="s">
        <v>1213</v>
      </c>
      <c r="F123" s="236" t="s">
        <v>957</v>
      </c>
      <c r="G123" s="236" t="s">
        <v>820</v>
      </c>
      <c r="H123" s="236" t="s">
        <v>978</v>
      </c>
      <c r="I123" s="236" t="s">
        <v>635</v>
      </c>
      <c r="J123" s="241">
        <v>33.799999999999997</v>
      </c>
      <c r="K123" s="238">
        <f>S123*9</f>
        <v>6351.6959999999981</v>
      </c>
      <c r="L123" s="238">
        <f>S123*3</f>
        <v>2117.2319999999995</v>
      </c>
      <c r="M123" s="199" t="s">
        <v>42</v>
      </c>
      <c r="N123" s="236" t="s">
        <v>1142</v>
      </c>
      <c r="O123" s="242"/>
      <c r="P123" s="241" t="s">
        <v>820</v>
      </c>
      <c r="Q123" s="251"/>
      <c r="R123" s="203"/>
      <c r="S123" s="245">
        <f>14.5*J123*1.2*(1+0.1+0.9)*0.6</f>
        <v>705.7439999999998</v>
      </c>
    </row>
    <row r="124" spans="1:19" s="181" customFormat="1" ht="20.399999999999999" x14ac:dyDescent="0.2">
      <c r="A124" s="237"/>
      <c r="B124" s="240"/>
      <c r="C124" s="240"/>
      <c r="D124" s="251"/>
      <c r="E124" s="413"/>
      <c r="F124" s="236"/>
      <c r="G124" s="251"/>
      <c r="H124" s="251"/>
      <c r="I124" s="251"/>
      <c r="J124" s="240"/>
      <c r="K124" s="239"/>
      <c r="L124" s="239"/>
      <c r="M124" s="199" t="s">
        <v>43</v>
      </c>
      <c r="N124" s="242"/>
      <c r="O124" s="242"/>
      <c r="P124" s="267"/>
      <c r="Q124" s="251"/>
      <c r="R124" s="203"/>
      <c r="S124" s="399"/>
    </row>
    <row r="125" spans="1:19" s="181" customFormat="1" ht="10.199999999999999" x14ac:dyDescent="0.2">
      <c r="A125" s="237"/>
      <c r="B125" s="240"/>
      <c r="C125" s="240"/>
      <c r="D125" s="251"/>
      <c r="E125" s="413"/>
      <c r="F125" s="236"/>
      <c r="G125" s="251"/>
      <c r="H125" s="251"/>
      <c r="I125" s="251"/>
      <c r="J125" s="240"/>
      <c r="K125" s="239"/>
      <c r="L125" s="239"/>
      <c r="M125" s="199" t="s">
        <v>44</v>
      </c>
      <c r="N125" s="242"/>
      <c r="O125" s="242"/>
      <c r="P125" s="267"/>
      <c r="Q125" s="251"/>
      <c r="R125" s="203"/>
      <c r="S125" s="399"/>
    </row>
    <row r="126" spans="1:19" s="181" customFormat="1" ht="10.199999999999999" x14ac:dyDescent="0.2">
      <c r="A126" s="237"/>
      <c r="B126" s="240"/>
      <c r="C126" s="240"/>
      <c r="D126" s="251"/>
      <c r="E126" s="413"/>
      <c r="F126" s="236"/>
      <c r="G126" s="251"/>
      <c r="H126" s="251"/>
      <c r="I126" s="251"/>
      <c r="J126" s="240"/>
      <c r="K126" s="239"/>
      <c r="L126" s="239"/>
      <c r="M126" s="199" t="s">
        <v>45</v>
      </c>
      <c r="N126" s="242"/>
      <c r="O126" s="242"/>
      <c r="P126" s="267"/>
      <c r="Q126" s="251"/>
      <c r="R126" s="203"/>
      <c r="S126" s="399"/>
    </row>
    <row r="127" spans="1:19" s="181" customFormat="1" ht="10.199999999999999" x14ac:dyDescent="0.2">
      <c r="A127" s="237"/>
      <c r="B127" s="240"/>
      <c r="C127" s="240"/>
      <c r="D127" s="251"/>
      <c r="E127" s="413"/>
      <c r="F127" s="236"/>
      <c r="G127" s="251"/>
      <c r="H127" s="251"/>
      <c r="I127" s="251"/>
      <c r="J127" s="240"/>
      <c r="K127" s="239"/>
      <c r="L127" s="239"/>
      <c r="M127" s="199" t="s">
        <v>46</v>
      </c>
      <c r="N127" s="242"/>
      <c r="O127" s="242"/>
      <c r="P127" s="267"/>
      <c r="Q127" s="251"/>
      <c r="R127" s="203"/>
      <c r="S127" s="399"/>
    </row>
    <row r="128" spans="1:19" s="181" customFormat="1" ht="10.199999999999999" x14ac:dyDescent="0.2">
      <c r="A128" s="237"/>
      <c r="B128" s="240"/>
      <c r="C128" s="240"/>
      <c r="D128" s="251"/>
      <c r="E128" s="413"/>
      <c r="F128" s="236"/>
      <c r="G128" s="251"/>
      <c r="H128" s="251"/>
      <c r="I128" s="251"/>
      <c r="J128" s="240"/>
      <c r="K128" s="239"/>
      <c r="L128" s="239"/>
      <c r="M128" s="211" t="s">
        <v>1245</v>
      </c>
      <c r="N128" s="236" t="s">
        <v>1177</v>
      </c>
      <c r="O128" s="214"/>
      <c r="P128" s="267"/>
      <c r="Q128" s="251"/>
      <c r="R128" s="203"/>
      <c r="S128" s="399"/>
    </row>
    <row r="129" spans="1:19" s="181" customFormat="1" ht="10.199999999999999" x14ac:dyDescent="0.2">
      <c r="A129" s="237">
        <f>A123+1</f>
        <v>21</v>
      </c>
      <c r="B129" s="259">
        <v>44536</v>
      </c>
      <c r="C129" s="259">
        <v>44870</v>
      </c>
      <c r="D129" s="236" t="s">
        <v>636</v>
      </c>
      <c r="E129" s="236" t="s">
        <v>1213</v>
      </c>
      <c r="F129" s="236" t="s">
        <v>957</v>
      </c>
      <c r="G129" s="236" t="s">
        <v>820</v>
      </c>
      <c r="H129" s="236" t="s">
        <v>979</v>
      </c>
      <c r="I129" s="236" t="s">
        <v>638</v>
      </c>
      <c r="J129" s="241">
        <f>21+21.7</f>
        <v>42.7</v>
      </c>
      <c r="K129" s="238">
        <f>S129*9</f>
        <v>8024.1840000000011</v>
      </c>
      <c r="L129" s="241">
        <f>S129*3</f>
        <v>2674.7280000000005</v>
      </c>
      <c r="M129" s="199" t="s">
        <v>42</v>
      </c>
      <c r="N129" s="236" t="s">
        <v>1142</v>
      </c>
      <c r="O129" s="242"/>
      <c r="P129" s="241" t="s">
        <v>820</v>
      </c>
      <c r="Q129" s="251"/>
      <c r="R129" s="203"/>
      <c r="S129" s="245">
        <f>14.5*J129*1.2*(1+1+0)*0.6</f>
        <v>891.57600000000014</v>
      </c>
    </row>
    <row r="130" spans="1:19" s="181" customFormat="1" ht="20.399999999999999" x14ac:dyDescent="0.2">
      <c r="A130" s="237"/>
      <c r="B130" s="240"/>
      <c r="C130" s="251"/>
      <c r="D130" s="251"/>
      <c r="E130" s="413"/>
      <c r="F130" s="236"/>
      <c r="G130" s="251"/>
      <c r="H130" s="251"/>
      <c r="I130" s="240"/>
      <c r="J130" s="240"/>
      <c r="K130" s="239"/>
      <c r="L130" s="239"/>
      <c r="M130" s="199" t="s">
        <v>43</v>
      </c>
      <c r="N130" s="242"/>
      <c r="O130" s="242"/>
      <c r="P130" s="267"/>
      <c r="Q130" s="251"/>
      <c r="R130" s="203"/>
      <c r="S130" s="399"/>
    </row>
    <row r="131" spans="1:19" s="181" customFormat="1" ht="10.199999999999999" x14ac:dyDescent="0.2">
      <c r="A131" s="237"/>
      <c r="B131" s="240"/>
      <c r="C131" s="251"/>
      <c r="D131" s="251"/>
      <c r="E131" s="413"/>
      <c r="F131" s="236"/>
      <c r="G131" s="251"/>
      <c r="H131" s="251"/>
      <c r="I131" s="240"/>
      <c r="J131" s="240"/>
      <c r="K131" s="239"/>
      <c r="L131" s="239"/>
      <c r="M131" s="199" t="s">
        <v>44</v>
      </c>
      <c r="N131" s="242"/>
      <c r="O131" s="242"/>
      <c r="P131" s="267"/>
      <c r="Q131" s="251"/>
      <c r="R131" s="203"/>
      <c r="S131" s="399"/>
    </row>
    <row r="132" spans="1:19" s="181" customFormat="1" ht="10.199999999999999" x14ac:dyDescent="0.2">
      <c r="A132" s="237"/>
      <c r="B132" s="240"/>
      <c r="C132" s="251"/>
      <c r="D132" s="251"/>
      <c r="E132" s="413"/>
      <c r="F132" s="236"/>
      <c r="G132" s="251"/>
      <c r="H132" s="251"/>
      <c r="I132" s="240"/>
      <c r="J132" s="240"/>
      <c r="K132" s="239"/>
      <c r="L132" s="239"/>
      <c r="M132" s="199" t="s">
        <v>45</v>
      </c>
      <c r="N132" s="242"/>
      <c r="O132" s="242"/>
      <c r="P132" s="267"/>
      <c r="Q132" s="251"/>
      <c r="R132" s="203"/>
      <c r="S132" s="399"/>
    </row>
    <row r="133" spans="1:19" s="181" customFormat="1" ht="10.199999999999999" x14ac:dyDescent="0.2">
      <c r="A133" s="237"/>
      <c r="B133" s="240"/>
      <c r="C133" s="251"/>
      <c r="D133" s="251"/>
      <c r="E133" s="413"/>
      <c r="F133" s="236"/>
      <c r="G133" s="251"/>
      <c r="H133" s="251"/>
      <c r="I133" s="240"/>
      <c r="J133" s="240"/>
      <c r="K133" s="239"/>
      <c r="L133" s="239"/>
      <c r="M133" s="199" t="s">
        <v>46</v>
      </c>
      <c r="N133" s="242"/>
      <c r="O133" s="242"/>
      <c r="P133" s="267"/>
      <c r="Q133" s="251"/>
      <c r="R133" s="203"/>
      <c r="S133" s="399"/>
    </row>
    <row r="134" spans="1:19" s="181" customFormat="1" ht="10.199999999999999" x14ac:dyDescent="0.2">
      <c r="A134" s="237"/>
      <c r="B134" s="240"/>
      <c r="C134" s="251"/>
      <c r="D134" s="251"/>
      <c r="E134" s="413"/>
      <c r="F134" s="236"/>
      <c r="G134" s="251"/>
      <c r="H134" s="251"/>
      <c r="I134" s="240"/>
      <c r="J134" s="240"/>
      <c r="K134" s="239"/>
      <c r="L134" s="239"/>
      <c r="M134" s="211" t="s">
        <v>1245</v>
      </c>
      <c r="N134" s="236" t="s">
        <v>1177</v>
      </c>
      <c r="O134" s="214"/>
      <c r="P134" s="267"/>
      <c r="Q134" s="251"/>
      <c r="R134" s="203"/>
      <c r="S134" s="399"/>
    </row>
    <row r="135" spans="1:19" s="181" customFormat="1" ht="10.199999999999999" x14ac:dyDescent="0.2">
      <c r="A135" s="237">
        <f>A129+1</f>
        <v>22</v>
      </c>
      <c r="B135" s="259">
        <v>44534</v>
      </c>
      <c r="C135" s="259">
        <v>45263</v>
      </c>
      <c r="D135" s="236" t="s">
        <v>639</v>
      </c>
      <c r="E135" s="236" t="s">
        <v>1213</v>
      </c>
      <c r="F135" s="236" t="s">
        <v>957</v>
      </c>
      <c r="G135" s="236" t="s">
        <v>820</v>
      </c>
      <c r="H135" s="236" t="s">
        <v>1209</v>
      </c>
      <c r="I135" s="236" t="s">
        <v>629</v>
      </c>
      <c r="J135" s="241">
        <v>596.29999999999995</v>
      </c>
      <c r="K135" s="238">
        <f>S135*9</f>
        <v>318962.25359999994</v>
      </c>
      <c r="L135" s="238">
        <f>S135*3</f>
        <v>106320.75119999997</v>
      </c>
      <c r="M135" s="199" t="s">
        <v>42</v>
      </c>
      <c r="N135" s="236" t="s">
        <v>1142</v>
      </c>
      <c r="O135" s="242"/>
      <c r="P135" s="241" t="s">
        <v>820</v>
      </c>
      <c r="Q135" s="251"/>
      <c r="R135" s="203"/>
      <c r="S135" s="245">
        <f>(14.5*533.3*1.2*(1+1.2+0.9)*1.2)+(14.5*63*1.2*(1+0.1+0.3)*0.6)</f>
        <v>35440.25039999999</v>
      </c>
    </row>
    <row r="136" spans="1:19" s="181" customFormat="1" ht="20.399999999999999" x14ac:dyDescent="0.2">
      <c r="A136" s="237"/>
      <c r="B136" s="240"/>
      <c r="C136" s="251"/>
      <c r="D136" s="251"/>
      <c r="E136" s="413"/>
      <c r="F136" s="236"/>
      <c r="G136" s="251"/>
      <c r="H136" s="251"/>
      <c r="I136" s="240"/>
      <c r="J136" s="240"/>
      <c r="K136" s="239"/>
      <c r="L136" s="239"/>
      <c r="M136" s="199" t="s">
        <v>43</v>
      </c>
      <c r="N136" s="242"/>
      <c r="O136" s="242"/>
      <c r="P136" s="267"/>
      <c r="Q136" s="251"/>
      <c r="R136" s="203"/>
      <c r="S136" s="399"/>
    </row>
    <row r="137" spans="1:19" s="181" customFormat="1" ht="13.8" customHeight="1" x14ac:dyDescent="0.2">
      <c r="A137" s="237"/>
      <c r="B137" s="240"/>
      <c r="C137" s="251"/>
      <c r="D137" s="251"/>
      <c r="E137" s="413"/>
      <c r="F137" s="236"/>
      <c r="G137" s="251"/>
      <c r="H137" s="251"/>
      <c r="I137" s="240"/>
      <c r="J137" s="240"/>
      <c r="K137" s="239"/>
      <c r="L137" s="239"/>
      <c r="M137" s="199" t="s">
        <v>44</v>
      </c>
      <c r="N137" s="242"/>
      <c r="O137" s="242"/>
      <c r="P137" s="267"/>
      <c r="Q137" s="251"/>
      <c r="R137" s="203"/>
      <c r="S137" s="399"/>
    </row>
    <row r="138" spans="1:19" s="181" customFormat="1" ht="13.8" customHeight="1" x14ac:dyDescent="0.2">
      <c r="A138" s="237"/>
      <c r="B138" s="240"/>
      <c r="C138" s="251"/>
      <c r="D138" s="251"/>
      <c r="E138" s="413"/>
      <c r="F138" s="236"/>
      <c r="G138" s="251"/>
      <c r="H138" s="251"/>
      <c r="I138" s="240"/>
      <c r="J138" s="240"/>
      <c r="K138" s="239"/>
      <c r="L138" s="239"/>
      <c r="M138" s="199" t="s">
        <v>45</v>
      </c>
      <c r="N138" s="242"/>
      <c r="O138" s="242"/>
      <c r="P138" s="267"/>
      <c r="Q138" s="251"/>
      <c r="R138" s="203"/>
      <c r="S138" s="399"/>
    </row>
    <row r="139" spans="1:19" s="181" customFormat="1" ht="10.199999999999999" x14ac:dyDescent="0.2">
      <c r="A139" s="237"/>
      <c r="B139" s="240"/>
      <c r="C139" s="251"/>
      <c r="D139" s="251"/>
      <c r="E139" s="413"/>
      <c r="F139" s="236"/>
      <c r="G139" s="251"/>
      <c r="H139" s="251"/>
      <c r="I139" s="240"/>
      <c r="J139" s="240"/>
      <c r="K139" s="239"/>
      <c r="L139" s="239"/>
      <c r="M139" s="199" t="s">
        <v>46</v>
      </c>
      <c r="N139" s="242"/>
      <c r="O139" s="242"/>
      <c r="P139" s="267"/>
      <c r="Q139" s="251"/>
      <c r="R139" s="203"/>
      <c r="S139" s="399"/>
    </row>
    <row r="140" spans="1:19" s="181" customFormat="1" ht="16.8" customHeight="1" x14ac:dyDescent="0.2">
      <c r="A140" s="237"/>
      <c r="B140" s="240"/>
      <c r="C140" s="251"/>
      <c r="D140" s="251"/>
      <c r="E140" s="413"/>
      <c r="F140" s="236"/>
      <c r="G140" s="251"/>
      <c r="H140" s="251"/>
      <c r="I140" s="240"/>
      <c r="J140" s="240"/>
      <c r="K140" s="239"/>
      <c r="L140" s="239"/>
      <c r="M140" s="211" t="s">
        <v>1245</v>
      </c>
      <c r="N140" s="236" t="s">
        <v>1177</v>
      </c>
      <c r="O140" s="214"/>
      <c r="P140" s="267"/>
      <c r="Q140" s="251"/>
      <c r="R140" s="203"/>
      <c r="S140" s="399"/>
    </row>
    <row r="141" spans="1:19" s="181" customFormat="1" ht="10.199999999999999" x14ac:dyDescent="0.2">
      <c r="A141" s="237">
        <f>A135+1</f>
        <v>23</v>
      </c>
      <c r="B141" s="243">
        <v>43657</v>
      </c>
      <c r="C141" s="243">
        <v>45483</v>
      </c>
      <c r="D141" s="247" t="s">
        <v>622</v>
      </c>
      <c r="E141" s="236" t="s">
        <v>1213</v>
      </c>
      <c r="F141" s="236" t="s">
        <v>957</v>
      </c>
      <c r="G141" s="247" t="s">
        <v>982</v>
      </c>
      <c r="H141" s="247" t="s">
        <v>980</v>
      </c>
      <c r="I141" s="247" t="s">
        <v>981</v>
      </c>
      <c r="J141" s="250">
        <v>432.2</v>
      </c>
      <c r="K141" s="238">
        <f>S141*9</f>
        <v>162438.04799999995</v>
      </c>
      <c r="L141" s="238">
        <f>S141*3</f>
        <v>54146.015999999989</v>
      </c>
      <c r="M141" s="199" t="s">
        <v>42</v>
      </c>
      <c r="N141" s="236" t="s">
        <v>1142</v>
      </c>
      <c r="O141" s="242"/>
      <c r="P141" s="250" t="s">
        <v>982</v>
      </c>
      <c r="Q141" s="251"/>
      <c r="R141" s="203"/>
      <c r="S141" s="245">
        <f>14.5*J141*1.2*(1+0.1+0.9)*1.2</f>
        <v>18048.671999999995</v>
      </c>
    </row>
    <row r="142" spans="1:19" s="181" customFormat="1" ht="20.399999999999999" x14ac:dyDescent="0.2">
      <c r="A142" s="237"/>
      <c r="B142" s="240"/>
      <c r="C142" s="251"/>
      <c r="D142" s="251"/>
      <c r="E142" s="413"/>
      <c r="F142" s="236"/>
      <c r="G142" s="251"/>
      <c r="H142" s="251"/>
      <c r="I142" s="240"/>
      <c r="J142" s="240"/>
      <c r="K142" s="239"/>
      <c r="L142" s="239"/>
      <c r="M142" s="199" t="s">
        <v>43</v>
      </c>
      <c r="N142" s="242"/>
      <c r="O142" s="242"/>
      <c r="P142" s="267"/>
      <c r="Q142" s="251"/>
      <c r="R142" s="203"/>
      <c r="S142" s="399"/>
    </row>
    <row r="143" spans="1:19" s="181" customFormat="1" ht="10.199999999999999" x14ac:dyDescent="0.2">
      <c r="A143" s="237"/>
      <c r="B143" s="240"/>
      <c r="C143" s="251"/>
      <c r="D143" s="251"/>
      <c r="E143" s="413"/>
      <c r="F143" s="236"/>
      <c r="G143" s="251"/>
      <c r="H143" s="251"/>
      <c r="I143" s="240"/>
      <c r="J143" s="240"/>
      <c r="K143" s="239"/>
      <c r="L143" s="239"/>
      <c r="M143" s="199" t="s">
        <v>44</v>
      </c>
      <c r="N143" s="242"/>
      <c r="O143" s="242"/>
      <c r="P143" s="267"/>
      <c r="Q143" s="251"/>
      <c r="R143" s="203"/>
      <c r="S143" s="399"/>
    </row>
    <row r="144" spans="1:19" s="181" customFormat="1" ht="10.199999999999999" x14ac:dyDescent="0.2">
      <c r="A144" s="237"/>
      <c r="B144" s="240"/>
      <c r="C144" s="251"/>
      <c r="D144" s="251"/>
      <c r="E144" s="413"/>
      <c r="F144" s="236"/>
      <c r="G144" s="251"/>
      <c r="H144" s="251"/>
      <c r="I144" s="240"/>
      <c r="J144" s="240"/>
      <c r="K144" s="239"/>
      <c r="L144" s="239"/>
      <c r="M144" s="199" t="s">
        <v>45</v>
      </c>
      <c r="N144" s="242"/>
      <c r="O144" s="242"/>
      <c r="P144" s="267"/>
      <c r="Q144" s="251"/>
      <c r="R144" s="203"/>
      <c r="S144" s="399"/>
    </row>
    <row r="145" spans="1:19" s="181" customFormat="1" ht="10.199999999999999" x14ac:dyDescent="0.2">
      <c r="A145" s="237"/>
      <c r="B145" s="240"/>
      <c r="C145" s="251"/>
      <c r="D145" s="251"/>
      <c r="E145" s="413"/>
      <c r="F145" s="236"/>
      <c r="G145" s="251"/>
      <c r="H145" s="251"/>
      <c r="I145" s="240"/>
      <c r="J145" s="240"/>
      <c r="K145" s="239"/>
      <c r="L145" s="239"/>
      <c r="M145" s="199" t="s">
        <v>46</v>
      </c>
      <c r="N145" s="242"/>
      <c r="O145" s="242"/>
      <c r="P145" s="267"/>
      <c r="Q145" s="251"/>
      <c r="R145" s="203"/>
      <c r="S145" s="399"/>
    </row>
    <row r="146" spans="1:19" s="181" customFormat="1" ht="10.199999999999999" x14ac:dyDescent="0.2">
      <c r="A146" s="237"/>
      <c r="B146" s="240"/>
      <c r="C146" s="251"/>
      <c r="D146" s="251"/>
      <c r="E146" s="413"/>
      <c r="F146" s="236"/>
      <c r="G146" s="251"/>
      <c r="H146" s="251"/>
      <c r="I146" s="240"/>
      <c r="J146" s="240"/>
      <c r="K146" s="239"/>
      <c r="L146" s="239"/>
      <c r="M146" s="211" t="s">
        <v>1245</v>
      </c>
      <c r="N146" s="236" t="s">
        <v>1177</v>
      </c>
      <c r="O146" s="214"/>
      <c r="P146" s="267"/>
      <c r="Q146" s="251"/>
      <c r="R146" s="203"/>
      <c r="S146" s="399"/>
    </row>
    <row r="147" spans="1:19" s="181" customFormat="1" ht="10.199999999999999" x14ac:dyDescent="0.2">
      <c r="A147" s="237">
        <f>A141+1</f>
        <v>24</v>
      </c>
      <c r="B147" s="259">
        <v>44558</v>
      </c>
      <c r="C147" s="259">
        <v>46383</v>
      </c>
      <c r="D147" s="236" t="s">
        <v>984</v>
      </c>
      <c r="E147" s="236" t="s">
        <v>1125</v>
      </c>
      <c r="F147" s="236" t="s">
        <v>957</v>
      </c>
      <c r="G147" s="236" t="s">
        <v>985</v>
      </c>
      <c r="H147" s="236" t="s">
        <v>983</v>
      </c>
      <c r="I147" s="236" t="s">
        <v>116</v>
      </c>
      <c r="J147" s="241">
        <v>850.4</v>
      </c>
      <c r="K147" s="238">
        <f>S147*9</f>
        <v>495402.22080000001</v>
      </c>
      <c r="L147" s="238">
        <f>S147*3</f>
        <v>165134.0736</v>
      </c>
      <c r="M147" s="199" t="s">
        <v>42</v>
      </c>
      <c r="N147" s="236" t="s">
        <v>1142</v>
      </c>
      <c r="O147" s="242"/>
      <c r="P147" s="241" t="s">
        <v>985</v>
      </c>
      <c r="Q147" s="251"/>
      <c r="R147" s="203"/>
      <c r="S147" s="245">
        <f>14.5*J147*1.2*(1+1.2+0.9)*1.2</f>
        <v>55044.691200000001</v>
      </c>
    </row>
    <row r="148" spans="1:19" s="181" customFormat="1" ht="20.399999999999999" x14ac:dyDescent="0.2">
      <c r="A148" s="237"/>
      <c r="B148" s="240"/>
      <c r="C148" s="251"/>
      <c r="D148" s="251"/>
      <c r="E148" s="251"/>
      <c r="F148" s="236"/>
      <c r="G148" s="251"/>
      <c r="H148" s="251"/>
      <c r="I148" s="240"/>
      <c r="J148" s="240"/>
      <c r="K148" s="239"/>
      <c r="L148" s="239"/>
      <c r="M148" s="199" t="s">
        <v>43</v>
      </c>
      <c r="N148" s="242"/>
      <c r="O148" s="242"/>
      <c r="P148" s="267"/>
      <c r="Q148" s="251"/>
      <c r="R148" s="203"/>
      <c r="S148" s="399"/>
    </row>
    <row r="149" spans="1:19" s="181" customFormat="1" ht="10.199999999999999" x14ac:dyDescent="0.2">
      <c r="A149" s="237"/>
      <c r="B149" s="240"/>
      <c r="C149" s="251"/>
      <c r="D149" s="251"/>
      <c r="E149" s="251"/>
      <c r="F149" s="236"/>
      <c r="G149" s="251"/>
      <c r="H149" s="251"/>
      <c r="I149" s="240"/>
      <c r="J149" s="240"/>
      <c r="K149" s="239"/>
      <c r="L149" s="239"/>
      <c r="M149" s="199" t="s">
        <v>44</v>
      </c>
      <c r="N149" s="242"/>
      <c r="O149" s="242"/>
      <c r="P149" s="267"/>
      <c r="Q149" s="251"/>
      <c r="R149" s="203"/>
      <c r="S149" s="399"/>
    </row>
    <row r="150" spans="1:19" s="181" customFormat="1" ht="10.199999999999999" x14ac:dyDescent="0.2">
      <c r="A150" s="237"/>
      <c r="B150" s="240"/>
      <c r="C150" s="251"/>
      <c r="D150" s="251"/>
      <c r="E150" s="251"/>
      <c r="F150" s="236"/>
      <c r="G150" s="251"/>
      <c r="H150" s="251"/>
      <c r="I150" s="240"/>
      <c r="J150" s="240"/>
      <c r="K150" s="239"/>
      <c r="L150" s="239"/>
      <c r="M150" s="199" t="s">
        <v>45</v>
      </c>
      <c r="N150" s="242"/>
      <c r="O150" s="242"/>
      <c r="P150" s="267"/>
      <c r="Q150" s="251"/>
      <c r="R150" s="203"/>
      <c r="S150" s="399"/>
    </row>
    <row r="151" spans="1:19" s="181" customFormat="1" ht="10.199999999999999" x14ac:dyDescent="0.2">
      <c r="A151" s="237"/>
      <c r="B151" s="240"/>
      <c r="C151" s="251"/>
      <c r="D151" s="251"/>
      <c r="E151" s="251"/>
      <c r="F151" s="236"/>
      <c r="G151" s="251"/>
      <c r="H151" s="251"/>
      <c r="I151" s="240"/>
      <c r="J151" s="240"/>
      <c r="K151" s="239"/>
      <c r="L151" s="239"/>
      <c r="M151" s="199" t="s">
        <v>46</v>
      </c>
      <c r="N151" s="242"/>
      <c r="O151" s="242"/>
      <c r="P151" s="267"/>
      <c r="Q151" s="251"/>
      <c r="R151" s="203"/>
      <c r="S151" s="399"/>
    </row>
    <row r="152" spans="1:19" s="181" customFormat="1" ht="10.199999999999999" x14ac:dyDescent="0.2">
      <c r="A152" s="237"/>
      <c r="B152" s="240"/>
      <c r="C152" s="251"/>
      <c r="D152" s="251"/>
      <c r="E152" s="251"/>
      <c r="F152" s="236"/>
      <c r="G152" s="251"/>
      <c r="H152" s="251"/>
      <c r="I152" s="240"/>
      <c r="J152" s="240"/>
      <c r="K152" s="239"/>
      <c r="L152" s="239"/>
      <c r="M152" s="211" t="s">
        <v>1245</v>
      </c>
      <c r="N152" s="236" t="s">
        <v>1177</v>
      </c>
      <c r="O152" s="214"/>
      <c r="P152" s="267"/>
      <c r="Q152" s="251"/>
      <c r="R152" s="203"/>
      <c r="S152" s="399"/>
    </row>
    <row r="153" spans="1:19" s="181" customFormat="1" ht="10.199999999999999" x14ac:dyDescent="0.2">
      <c r="A153" s="252">
        <f>A147+1</f>
        <v>25</v>
      </c>
      <c r="B153" s="243">
        <v>44281</v>
      </c>
      <c r="C153" s="243" t="s">
        <v>486</v>
      </c>
      <c r="D153" s="247" t="s">
        <v>692</v>
      </c>
      <c r="E153" s="247" t="s">
        <v>1125</v>
      </c>
      <c r="F153" s="247" t="s">
        <v>957</v>
      </c>
      <c r="G153" s="247" t="s">
        <v>693</v>
      </c>
      <c r="H153" s="247" t="s">
        <v>986</v>
      </c>
      <c r="I153" s="247" t="s">
        <v>696</v>
      </c>
      <c r="J153" s="250">
        <v>28.7</v>
      </c>
      <c r="K153" s="245">
        <f>S153*9</f>
        <v>336.40326760563386</v>
      </c>
      <c r="L153" s="245">
        <f>S153*3</f>
        <v>112.13442253521129</v>
      </c>
      <c r="M153" s="185" t="s">
        <v>42</v>
      </c>
      <c r="N153" s="250" t="s">
        <v>1151</v>
      </c>
      <c r="O153" s="284"/>
      <c r="P153" s="284"/>
      <c r="Q153" s="414"/>
      <c r="R153" s="203"/>
      <c r="S153" s="245">
        <f>14.5*J153*1*(1+1.2+0.9)*1.2*12/1988*4</f>
        <v>37.378140845070426</v>
      </c>
    </row>
    <row r="154" spans="1:19" s="181" customFormat="1" ht="20.399999999999999" x14ac:dyDescent="0.2">
      <c r="A154" s="252"/>
      <c r="B154" s="399"/>
      <c r="C154" s="414"/>
      <c r="D154" s="414"/>
      <c r="E154" s="414"/>
      <c r="F154" s="247"/>
      <c r="G154" s="414"/>
      <c r="H154" s="414"/>
      <c r="I154" s="399"/>
      <c r="J154" s="399"/>
      <c r="K154" s="262"/>
      <c r="L154" s="262"/>
      <c r="M154" s="185" t="s">
        <v>43</v>
      </c>
      <c r="N154" s="284"/>
      <c r="O154" s="284"/>
      <c r="P154" s="284"/>
      <c r="Q154" s="414"/>
      <c r="R154" s="203"/>
      <c r="S154" s="403"/>
    </row>
    <row r="155" spans="1:19" s="181" customFormat="1" ht="10.199999999999999" x14ac:dyDescent="0.2">
      <c r="A155" s="252"/>
      <c r="B155" s="399"/>
      <c r="C155" s="414"/>
      <c r="D155" s="414"/>
      <c r="E155" s="414"/>
      <c r="F155" s="247"/>
      <c r="G155" s="414"/>
      <c r="H155" s="414"/>
      <c r="I155" s="399"/>
      <c r="J155" s="399"/>
      <c r="K155" s="262"/>
      <c r="L155" s="262"/>
      <c r="M155" s="185" t="s">
        <v>44</v>
      </c>
      <c r="N155" s="284"/>
      <c r="O155" s="284"/>
      <c r="P155" s="284"/>
      <c r="Q155" s="414"/>
      <c r="R155" s="203"/>
      <c r="S155" s="403"/>
    </row>
    <row r="156" spans="1:19" s="181" customFormat="1" ht="10.199999999999999" x14ac:dyDescent="0.2">
      <c r="A156" s="252"/>
      <c r="B156" s="399"/>
      <c r="C156" s="414"/>
      <c r="D156" s="414"/>
      <c r="E156" s="414"/>
      <c r="F156" s="247"/>
      <c r="G156" s="414"/>
      <c r="H156" s="414"/>
      <c r="I156" s="399"/>
      <c r="J156" s="399"/>
      <c r="K156" s="262"/>
      <c r="L156" s="262"/>
      <c r="M156" s="185" t="s">
        <v>45</v>
      </c>
      <c r="N156" s="284"/>
      <c r="O156" s="284"/>
      <c r="P156" s="284"/>
      <c r="Q156" s="414"/>
      <c r="R156" s="203"/>
      <c r="S156" s="403"/>
    </row>
    <row r="157" spans="1:19" s="181" customFormat="1" ht="10.199999999999999" x14ac:dyDescent="0.2">
      <c r="A157" s="252"/>
      <c r="B157" s="399"/>
      <c r="C157" s="414"/>
      <c r="D157" s="414"/>
      <c r="E157" s="414"/>
      <c r="F157" s="247"/>
      <c r="G157" s="414"/>
      <c r="H157" s="414"/>
      <c r="I157" s="399"/>
      <c r="J157" s="399"/>
      <c r="K157" s="262"/>
      <c r="L157" s="262"/>
      <c r="M157" s="185" t="s">
        <v>46</v>
      </c>
      <c r="N157" s="284"/>
      <c r="O157" s="284"/>
      <c r="P157" s="284"/>
      <c r="Q157" s="414"/>
      <c r="R157" s="203"/>
      <c r="S157" s="403"/>
    </row>
    <row r="158" spans="1:19" s="181" customFormat="1" ht="10.199999999999999" x14ac:dyDescent="0.2">
      <c r="A158" s="252"/>
      <c r="B158" s="399"/>
      <c r="C158" s="414"/>
      <c r="D158" s="414"/>
      <c r="E158" s="414"/>
      <c r="F158" s="247"/>
      <c r="G158" s="414"/>
      <c r="H158" s="414"/>
      <c r="I158" s="399"/>
      <c r="J158" s="399"/>
      <c r="K158" s="262"/>
      <c r="L158" s="262"/>
      <c r="M158" s="211" t="s">
        <v>1245</v>
      </c>
      <c r="N158" s="250" t="s">
        <v>1177</v>
      </c>
      <c r="O158" s="276"/>
      <c r="P158" s="276"/>
      <c r="Q158" s="414"/>
      <c r="R158" s="203"/>
      <c r="S158" s="403"/>
    </row>
    <row r="159" spans="1:19" s="181" customFormat="1" ht="10.199999999999999" x14ac:dyDescent="0.2">
      <c r="A159" s="237">
        <f>A153+1</f>
        <v>26</v>
      </c>
      <c r="B159" s="243">
        <v>44292</v>
      </c>
      <c r="C159" s="243" t="s">
        <v>486</v>
      </c>
      <c r="D159" s="236" t="s">
        <v>697</v>
      </c>
      <c r="E159" s="236" t="s">
        <v>1125</v>
      </c>
      <c r="F159" s="236" t="s">
        <v>957</v>
      </c>
      <c r="G159" s="247" t="s">
        <v>698</v>
      </c>
      <c r="H159" s="247" t="s">
        <v>1156</v>
      </c>
      <c r="I159" s="247" t="s">
        <v>701</v>
      </c>
      <c r="J159" s="250">
        <v>66.599999999999994</v>
      </c>
      <c r="K159" s="245">
        <f>S159*9</f>
        <v>585.48234205231392</v>
      </c>
      <c r="L159" s="238">
        <f>S159*3</f>
        <v>195.16078068410465</v>
      </c>
      <c r="M159" s="199" t="s">
        <v>42</v>
      </c>
      <c r="N159" s="250" t="s">
        <v>1151</v>
      </c>
      <c r="O159" s="284"/>
      <c r="P159" s="284"/>
      <c r="Q159" s="251"/>
      <c r="R159" s="203"/>
      <c r="S159" s="245">
        <f>14.5*J159*1*(1+1.2+0.9)*1.2*12/1988*3</f>
        <v>65.053593561368217</v>
      </c>
    </row>
    <row r="160" spans="1:19" s="181" customFormat="1" ht="20.399999999999999" x14ac:dyDescent="0.2">
      <c r="A160" s="237"/>
      <c r="B160" s="240"/>
      <c r="C160" s="251"/>
      <c r="D160" s="251"/>
      <c r="E160" s="251"/>
      <c r="F160" s="236"/>
      <c r="G160" s="251"/>
      <c r="H160" s="251"/>
      <c r="I160" s="240"/>
      <c r="J160" s="240"/>
      <c r="K160" s="262"/>
      <c r="L160" s="239"/>
      <c r="M160" s="199" t="s">
        <v>43</v>
      </c>
      <c r="N160" s="284"/>
      <c r="O160" s="284"/>
      <c r="P160" s="284"/>
      <c r="Q160" s="251"/>
      <c r="R160" s="203"/>
      <c r="S160" s="252"/>
    </row>
    <row r="161" spans="1:19" s="181" customFormat="1" ht="10.199999999999999" x14ac:dyDescent="0.2">
      <c r="A161" s="237"/>
      <c r="B161" s="240"/>
      <c r="C161" s="251"/>
      <c r="D161" s="251"/>
      <c r="E161" s="251"/>
      <c r="F161" s="236"/>
      <c r="G161" s="251"/>
      <c r="H161" s="251"/>
      <c r="I161" s="240"/>
      <c r="J161" s="240"/>
      <c r="K161" s="262"/>
      <c r="L161" s="239"/>
      <c r="M161" s="199" t="s">
        <v>44</v>
      </c>
      <c r="N161" s="284"/>
      <c r="O161" s="284"/>
      <c r="P161" s="284"/>
      <c r="Q161" s="251"/>
      <c r="R161" s="203"/>
      <c r="S161" s="252"/>
    </row>
    <row r="162" spans="1:19" s="181" customFormat="1" ht="10.199999999999999" x14ac:dyDescent="0.2">
      <c r="A162" s="237"/>
      <c r="B162" s="240"/>
      <c r="C162" s="251"/>
      <c r="D162" s="251"/>
      <c r="E162" s="251"/>
      <c r="F162" s="236"/>
      <c r="G162" s="251"/>
      <c r="H162" s="251"/>
      <c r="I162" s="240"/>
      <c r="J162" s="240"/>
      <c r="K162" s="262"/>
      <c r="L162" s="239"/>
      <c r="M162" s="199" t="s">
        <v>45</v>
      </c>
      <c r="N162" s="284"/>
      <c r="O162" s="284"/>
      <c r="P162" s="284"/>
      <c r="Q162" s="251"/>
      <c r="R162" s="203"/>
      <c r="S162" s="252"/>
    </row>
    <row r="163" spans="1:19" s="181" customFormat="1" ht="10.199999999999999" x14ac:dyDescent="0.2">
      <c r="A163" s="237"/>
      <c r="B163" s="240"/>
      <c r="C163" s="251"/>
      <c r="D163" s="251"/>
      <c r="E163" s="251"/>
      <c r="F163" s="236"/>
      <c r="G163" s="251"/>
      <c r="H163" s="251"/>
      <c r="I163" s="240"/>
      <c r="J163" s="240"/>
      <c r="K163" s="262"/>
      <c r="L163" s="239"/>
      <c r="M163" s="199" t="s">
        <v>46</v>
      </c>
      <c r="N163" s="284"/>
      <c r="O163" s="284"/>
      <c r="P163" s="284"/>
      <c r="Q163" s="251"/>
      <c r="R163" s="203"/>
      <c r="S163" s="252"/>
    </row>
    <row r="164" spans="1:19" s="181" customFormat="1" ht="10.199999999999999" x14ac:dyDescent="0.2">
      <c r="A164" s="237"/>
      <c r="B164" s="240"/>
      <c r="C164" s="251"/>
      <c r="D164" s="251"/>
      <c r="E164" s="251"/>
      <c r="F164" s="236"/>
      <c r="G164" s="251"/>
      <c r="H164" s="251"/>
      <c r="I164" s="240"/>
      <c r="J164" s="240"/>
      <c r="K164" s="262"/>
      <c r="L164" s="239"/>
      <c r="M164" s="211"/>
      <c r="N164" s="250" t="s">
        <v>1177</v>
      </c>
      <c r="O164" s="276"/>
      <c r="P164" s="276"/>
      <c r="Q164" s="251"/>
      <c r="R164" s="203"/>
      <c r="S164" s="252"/>
    </row>
    <row r="165" spans="1:19" s="181" customFormat="1" ht="10.199999999999999" x14ac:dyDescent="0.2">
      <c r="A165" s="237">
        <f>A159+1</f>
        <v>27</v>
      </c>
      <c r="B165" s="243">
        <v>44287</v>
      </c>
      <c r="C165" s="243" t="s">
        <v>486</v>
      </c>
      <c r="D165" s="236" t="s">
        <v>702</v>
      </c>
      <c r="E165" s="236" t="s">
        <v>1125</v>
      </c>
      <c r="F165" s="236" t="s">
        <v>957</v>
      </c>
      <c r="G165" s="247" t="s">
        <v>703</v>
      </c>
      <c r="H165" s="247" t="s">
        <v>987</v>
      </c>
      <c r="I165" s="247" t="s">
        <v>706</v>
      </c>
      <c r="J165" s="250">
        <v>28.7</v>
      </c>
      <c r="K165" s="238">
        <f>S165*9</f>
        <v>84.100816901408464</v>
      </c>
      <c r="L165" s="238">
        <f>S165*3</f>
        <v>28.033605633802821</v>
      </c>
      <c r="M165" s="199" t="s">
        <v>42</v>
      </c>
      <c r="N165" s="250" t="s">
        <v>1151</v>
      </c>
      <c r="O165" s="284"/>
      <c r="P165" s="284"/>
      <c r="Q165" s="251"/>
      <c r="R165" s="203"/>
      <c r="S165" s="245">
        <f>14.5*J165/3*1*(1+1.2+0.9)*1.2*12/1988*3</f>
        <v>9.3445352112676066</v>
      </c>
    </row>
    <row r="166" spans="1:19" s="181" customFormat="1" ht="20.399999999999999" x14ac:dyDescent="0.2">
      <c r="A166" s="237"/>
      <c r="B166" s="240"/>
      <c r="C166" s="251"/>
      <c r="D166" s="251"/>
      <c r="E166" s="251"/>
      <c r="F166" s="236"/>
      <c r="G166" s="251"/>
      <c r="H166" s="251"/>
      <c r="I166" s="240"/>
      <c r="J166" s="240"/>
      <c r="K166" s="239"/>
      <c r="L166" s="239"/>
      <c r="M166" s="199" t="s">
        <v>43</v>
      </c>
      <c r="N166" s="284"/>
      <c r="O166" s="284"/>
      <c r="P166" s="284"/>
      <c r="Q166" s="251"/>
      <c r="R166" s="203"/>
      <c r="S166" s="403"/>
    </row>
    <row r="167" spans="1:19" s="181" customFormat="1" ht="10.199999999999999" x14ac:dyDescent="0.2">
      <c r="A167" s="237"/>
      <c r="B167" s="240"/>
      <c r="C167" s="251"/>
      <c r="D167" s="251"/>
      <c r="E167" s="251"/>
      <c r="F167" s="236"/>
      <c r="G167" s="251"/>
      <c r="H167" s="251"/>
      <c r="I167" s="240"/>
      <c r="J167" s="240"/>
      <c r="K167" s="239"/>
      <c r="L167" s="239"/>
      <c r="M167" s="199" t="s">
        <v>44</v>
      </c>
      <c r="N167" s="284"/>
      <c r="O167" s="284"/>
      <c r="P167" s="284"/>
      <c r="Q167" s="251"/>
      <c r="R167" s="203"/>
      <c r="S167" s="403"/>
    </row>
    <row r="168" spans="1:19" s="181" customFormat="1" ht="10.199999999999999" x14ac:dyDescent="0.2">
      <c r="A168" s="237"/>
      <c r="B168" s="240"/>
      <c r="C168" s="251"/>
      <c r="D168" s="251"/>
      <c r="E168" s="251"/>
      <c r="F168" s="236"/>
      <c r="G168" s="251"/>
      <c r="H168" s="251"/>
      <c r="I168" s="240"/>
      <c r="J168" s="240"/>
      <c r="K168" s="239"/>
      <c r="L168" s="239"/>
      <c r="M168" s="199" t="s">
        <v>45</v>
      </c>
      <c r="N168" s="284"/>
      <c r="O168" s="284"/>
      <c r="P168" s="284"/>
      <c r="Q168" s="251"/>
      <c r="R168" s="203"/>
      <c r="S168" s="403"/>
    </row>
    <row r="169" spans="1:19" s="181" customFormat="1" ht="10.199999999999999" x14ac:dyDescent="0.2">
      <c r="A169" s="237"/>
      <c r="B169" s="240"/>
      <c r="C169" s="251"/>
      <c r="D169" s="251"/>
      <c r="E169" s="251"/>
      <c r="F169" s="236"/>
      <c r="G169" s="251"/>
      <c r="H169" s="251"/>
      <c r="I169" s="240"/>
      <c r="J169" s="240"/>
      <c r="K169" s="239"/>
      <c r="L169" s="239"/>
      <c r="M169" s="199" t="s">
        <v>46</v>
      </c>
      <c r="N169" s="284"/>
      <c r="O169" s="284"/>
      <c r="P169" s="284"/>
      <c r="Q169" s="251"/>
      <c r="R169" s="203"/>
      <c r="S169" s="403"/>
    </row>
    <row r="170" spans="1:19" s="181" customFormat="1" ht="10.199999999999999" x14ac:dyDescent="0.2">
      <c r="A170" s="237"/>
      <c r="B170" s="240"/>
      <c r="C170" s="251"/>
      <c r="D170" s="251"/>
      <c r="E170" s="251"/>
      <c r="F170" s="236"/>
      <c r="G170" s="251"/>
      <c r="H170" s="251"/>
      <c r="I170" s="257"/>
      <c r="J170" s="240"/>
      <c r="K170" s="239"/>
      <c r="L170" s="239"/>
      <c r="M170" s="211" t="s">
        <v>1245</v>
      </c>
      <c r="N170" s="250" t="s">
        <v>1177</v>
      </c>
      <c r="O170" s="276"/>
      <c r="P170" s="276"/>
      <c r="Q170" s="251"/>
      <c r="R170" s="203"/>
      <c r="S170" s="399"/>
    </row>
    <row r="171" spans="1:19" s="181" customFormat="1" ht="10.199999999999999" x14ac:dyDescent="0.2">
      <c r="A171" s="237">
        <f>A165+1</f>
        <v>28</v>
      </c>
      <c r="B171" s="243">
        <v>44342</v>
      </c>
      <c r="C171" s="243" t="s">
        <v>486</v>
      </c>
      <c r="D171" s="236" t="s">
        <v>707</v>
      </c>
      <c r="E171" s="236" t="s">
        <v>1125</v>
      </c>
      <c r="F171" s="236" t="s">
        <v>957</v>
      </c>
      <c r="G171" s="247" t="s">
        <v>708</v>
      </c>
      <c r="H171" s="247" t="s">
        <v>988</v>
      </c>
      <c r="I171" s="247" t="s">
        <v>709</v>
      </c>
      <c r="J171" s="250">
        <v>28.7</v>
      </c>
      <c r="K171" s="238">
        <f>S171*9</f>
        <v>112.13442253521129</v>
      </c>
      <c r="L171" s="238">
        <f>S171*3</f>
        <v>37.378140845070426</v>
      </c>
      <c r="M171" s="199" t="s">
        <v>42</v>
      </c>
      <c r="N171" s="250" t="s">
        <v>1151</v>
      </c>
      <c r="O171" s="284"/>
      <c r="P171" s="284"/>
      <c r="Q171" s="251"/>
      <c r="R171" s="203"/>
      <c r="S171" s="402">
        <f>14.5*J171/3*1*(1+1.2+0.9)*1.2*12/1988*4</f>
        <v>12.459380281690143</v>
      </c>
    </row>
    <row r="172" spans="1:19" s="181" customFormat="1" ht="20.399999999999999" x14ac:dyDescent="0.2">
      <c r="A172" s="237"/>
      <c r="B172" s="240"/>
      <c r="C172" s="251"/>
      <c r="D172" s="251"/>
      <c r="E172" s="251"/>
      <c r="F172" s="236"/>
      <c r="G172" s="251"/>
      <c r="H172" s="251"/>
      <c r="I172" s="240"/>
      <c r="J172" s="240"/>
      <c r="K172" s="239"/>
      <c r="L172" s="239"/>
      <c r="M172" s="199" t="s">
        <v>43</v>
      </c>
      <c r="N172" s="284"/>
      <c r="O172" s="284"/>
      <c r="P172" s="284"/>
      <c r="Q172" s="251"/>
      <c r="R172" s="203"/>
      <c r="S172" s="399"/>
    </row>
    <row r="173" spans="1:19" s="181" customFormat="1" ht="10.199999999999999" x14ac:dyDescent="0.2">
      <c r="A173" s="237"/>
      <c r="B173" s="240"/>
      <c r="C173" s="251"/>
      <c r="D173" s="251"/>
      <c r="E173" s="251"/>
      <c r="F173" s="236"/>
      <c r="G173" s="251"/>
      <c r="H173" s="251"/>
      <c r="I173" s="240"/>
      <c r="J173" s="240"/>
      <c r="K173" s="239"/>
      <c r="L173" s="239"/>
      <c r="M173" s="199" t="s">
        <v>44</v>
      </c>
      <c r="N173" s="284"/>
      <c r="O173" s="284"/>
      <c r="P173" s="284"/>
      <c r="Q173" s="251"/>
      <c r="R173" s="203"/>
      <c r="S173" s="399"/>
    </row>
    <row r="174" spans="1:19" s="181" customFormat="1" ht="10.199999999999999" x14ac:dyDescent="0.2">
      <c r="A174" s="237"/>
      <c r="B174" s="240"/>
      <c r="C174" s="251"/>
      <c r="D174" s="251"/>
      <c r="E174" s="251"/>
      <c r="F174" s="236"/>
      <c r="G174" s="251"/>
      <c r="H174" s="251"/>
      <c r="I174" s="240"/>
      <c r="J174" s="240"/>
      <c r="K174" s="239"/>
      <c r="L174" s="239"/>
      <c r="M174" s="199" t="s">
        <v>45</v>
      </c>
      <c r="N174" s="284"/>
      <c r="O174" s="284"/>
      <c r="P174" s="284"/>
      <c r="Q174" s="251"/>
      <c r="R174" s="203"/>
      <c r="S174" s="399"/>
    </row>
    <row r="175" spans="1:19" s="181" customFormat="1" ht="10.199999999999999" x14ac:dyDescent="0.2">
      <c r="A175" s="237"/>
      <c r="B175" s="240"/>
      <c r="C175" s="251"/>
      <c r="D175" s="251"/>
      <c r="E175" s="251"/>
      <c r="F175" s="236"/>
      <c r="G175" s="251"/>
      <c r="H175" s="251"/>
      <c r="I175" s="240"/>
      <c r="J175" s="240"/>
      <c r="K175" s="239"/>
      <c r="L175" s="239"/>
      <c r="M175" s="199" t="s">
        <v>46</v>
      </c>
      <c r="N175" s="284"/>
      <c r="O175" s="284"/>
      <c r="P175" s="284"/>
      <c r="Q175" s="251"/>
      <c r="R175" s="203"/>
      <c r="S175" s="399"/>
    </row>
    <row r="176" spans="1:19" s="181" customFormat="1" ht="10.199999999999999" x14ac:dyDescent="0.2">
      <c r="A176" s="237"/>
      <c r="B176" s="240"/>
      <c r="C176" s="251"/>
      <c r="D176" s="251"/>
      <c r="E176" s="251"/>
      <c r="F176" s="236"/>
      <c r="G176" s="251"/>
      <c r="H176" s="251"/>
      <c r="I176" s="240"/>
      <c r="J176" s="240"/>
      <c r="K176" s="239"/>
      <c r="L176" s="239"/>
      <c r="M176" s="211" t="s">
        <v>1245</v>
      </c>
      <c r="N176" s="250" t="s">
        <v>1177</v>
      </c>
      <c r="O176" s="276"/>
      <c r="P176" s="276"/>
      <c r="Q176" s="251"/>
      <c r="R176" s="203"/>
      <c r="S176" s="399"/>
    </row>
    <row r="177" spans="1:19" s="181" customFormat="1" ht="10.199999999999999" x14ac:dyDescent="0.2">
      <c r="A177" s="237">
        <f>A171+1</f>
        <v>29</v>
      </c>
      <c r="B177" s="243">
        <v>44342</v>
      </c>
      <c r="C177" s="243" t="s">
        <v>486</v>
      </c>
      <c r="D177" s="236" t="s">
        <v>710</v>
      </c>
      <c r="E177" s="236" t="s">
        <v>1125</v>
      </c>
      <c r="F177" s="236" t="s">
        <v>957</v>
      </c>
      <c r="G177" s="247" t="s">
        <v>711</v>
      </c>
      <c r="H177" s="247" t="s">
        <v>1241</v>
      </c>
      <c r="I177" s="247" t="s">
        <v>714</v>
      </c>
      <c r="J177" s="250">
        <v>16.7</v>
      </c>
      <c r="K177" s="238">
        <f>S177*9</f>
        <v>195.74684909456741</v>
      </c>
      <c r="L177" s="238">
        <f>S177*3</f>
        <v>65.248949698189136</v>
      </c>
      <c r="M177" s="199" t="s">
        <v>42</v>
      </c>
      <c r="N177" s="250" t="s">
        <v>1151</v>
      </c>
      <c r="O177" s="284"/>
      <c r="P177" s="284"/>
      <c r="Q177" s="251"/>
      <c r="R177" s="203"/>
      <c r="S177" s="402">
        <f>14.5*J177*1*(1+1.2+0.9)*1.2*12/1988*4</f>
        <v>21.749649899396378</v>
      </c>
    </row>
    <row r="178" spans="1:19" s="181" customFormat="1" ht="20.399999999999999" x14ac:dyDescent="0.2">
      <c r="A178" s="237"/>
      <c r="B178" s="240"/>
      <c r="C178" s="251"/>
      <c r="D178" s="251"/>
      <c r="E178" s="251"/>
      <c r="F178" s="236"/>
      <c r="G178" s="251"/>
      <c r="H178" s="251"/>
      <c r="I178" s="240"/>
      <c r="J178" s="240"/>
      <c r="K178" s="239"/>
      <c r="L178" s="239"/>
      <c r="M178" s="199" t="s">
        <v>43</v>
      </c>
      <c r="N178" s="284"/>
      <c r="O178" s="284"/>
      <c r="P178" s="284"/>
      <c r="Q178" s="251"/>
      <c r="R178" s="203"/>
      <c r="S178" s="399"/>
    </row>
    <row r="179" spans="1:19" s="181" customFormat="1" ht="10.199999999999999" x14ac:dyDescent="0.2">
      <c r="A179" s="237"/>
      <c r="B179" s="240"/>
      <c r="C179" s="251"/>
      <c r="D179" s="251"/>
      <c r="E179" s="251"/>
      <c r="F179" s="236"/>
      <c r="G179" s="251"/>
      <c r="H179" s="251"/>
      <c r="I179" s="240"/>
      <c r="J179" s="240"/>
      <c r="K179" s="239"/>
      <c r="L179" s="239"/>
      <c r="M179" s="199" t="s">
        <v>44</v>
      </c>
      <c r="N179" s="284"/>
      <c r="O179" s="284"/>
      <c r="P179" s="284"/>
      <c r="Q179" s="251"/>
      <c r="R179" s="203"/>
      <c r="S179" s="399"/>
    </row>
    <row r="180" spans="1:19" s="181" customFormat="1" ht="10.199999999999999" x14ac:dyDescent="0.2">
      <c r="A180" s="237"/>
      <c r="B180" s="240"/>
      <c r="C180" s="251"/>
      <c r="D180" s="251"/>
      <c r="E180" s="251"/>
      <c r="F180" s="236"/>
      <c r="G180" s="251"/>
      <c r="H180" s="251"/>
      <c r="I180" s="240"/>
      <c r="J180" s="240"/>
      <c r="K180" s="239"/>
      <c r="L180" s="239"/>
      <c r="M180" s="199" t="s">
        <v>45</v>
      </c>
      <c r="N180" s="284"/>
      <c r="O180" s="284"/>
      <c r="P180" s="284"/>
      <c r="Q180" s="251"/>
      <c r="R180" s="203"/>
      <c r="S180" s="399"/>
    </row>
    <row r="181" spans="1:19" s="181" customFormat="1" ht="10.199999999999999" x14ac:dyDescent="0.2">
      <c r="A181" s="237"/>
      <c r="B181" s="240"/>
      <c r="C181" s="251"/>
      <c r="D181" s="251"/>
      <c r="E181" s="251"/>
      <c r="F181" s="236"/>
      <c r="G181" s="251"/>
      <c r="H181" s="251"/>
      <c r="I181" s="240"/>
      <c r="J181" s="240"/>
      <c r="K181" s="239"/>
      <c r="L181" s="239"/>
      <c r="M181" s="199" t="s">
        <v>46</v>
      </c>
      <c r="N181" s="284"/>
      <c r="O181" s="284"/>
      <c r="P181" s="284"/>
      <c r="Q181" s="251"/>
      <c r="R181" s="203"/>
      <c r="S181" s="399"/>
    </row>
    <row r="182" spans="1:19" s="181" customFormat="1" ht="10.199999999999999" x14ac:dyDescent="0.2">
      <c r="A182" s="237"/>
      <c r="B182" s="240"/>
      <c r="C182" s="251"/>
      <c r="D182" s="251"/>
      <c r="E182" s="251"/>
      <c r="F182" s="236"/>
      <c r="G182" s="251"/>
      <c r="H182" s="251"/>
      <c r="I182" s="240"/>
      <c r="J182" s="240"/>
      <c r="K182" s="239"/>
      <c r="L182" s="239"/>
      <c r="M182" s="211" t="s">
        <v>1245</v>
      </c>
      <c r="N182" s="250" t="s">
        <v>1177</v>
      </c>
      <c r="O182" s="276"/>
      <c r="P182" s="276"/>
      <c r="Q182" s="251"/>
      <c r="R182" s="203"/>
      <c r="S182" s="399"/>
    </row>
    <row r="183" spans="1:19" s="181" customFormat="1" ht="10.199999999999999" x14ac:dyDescent="0.2">
      <c r="A183" s="237">
        <f>A177+1</f>
        <v>30</v>
      </c>
      <c r="B183" s="243">
        <v>44342</v>
      </c>
      <c r="C183" s="243" t="s">
        <v>486</v>
      </c>
      <c r="D183" s="236" t="s">
        <v>715</v>
      </c>
      <c r="E183" s="236" t="s">
        <v>1125</v>
      </c>
      <c r="F183" s="236" t="s">
        <v>957</v>
      </c>
      <c r="G183" s="247" t="s">
        <v>716</v>
      </c>
      <c r="H183" s="247" t="s">
        <v>1134</v>
      </c>
      <c r="I183" s="247" t="s">
        <v>718</v>
      </c>
      <c r="J183" s="250">
        <v>66.599999999999994</v>
      </c>
      <c r="K183" s="238">
        <f>S183*9</f>
        <v>195.16078068410462</v>
      </c>
      <c r="L183" s="238">
        <f>S183*3</f>
        <v>65.053593561368217</v>
      </c>
      <c r="M183" s="199" t="s">
        <v>42</v>
      </c>
      <c r="N183" s="250" t="s">
        <v>1151</v>
      </c>
      <c r="O183" s="284"/>
      <c r="P183" s="284"/>
      <c r="Q183" s="251"/>
      <c r="R183" s="203"/>
      <c r="S183" s="402">
        <f>14.5*J183*1*(1+1.2+0.9)*1.2*12/1988*1</f>
        <v>21.684531187122737</v>
      </c>
    </row>
    <row r="184" spans="1:19" s="181" customFormat="1" ht="20.399999999999999" x14ac:dyDescent="0.2">
      <c r="A184" s="237"/>
      <c r="B184" s="240"/>
      <c r="C184" s="251"/>
      <c r="D184" s="251"/>
      <c r="E184" s="251"/>
      <c r="F184" s="236"/>
      <c r="G184" s="251"/>
      <c r="H184" s="251"/>
      <c r="I184" s="240"/>
      <c r="J184" s="240"/>
      <c r="K184" s="239"/>
      <c r="L184" s="239"/>
      <c r="M184" s="199" t="s">
        <v>43</v>
      </c>
      <c r="N184" s="284"/>
      <c r="O184" s="284"/>
      <c r="P184" s="284"/>
      <c r="Q184" s="251"/>
      <c r="R184" s="203"/>
      <c r="S184" s="399"/>
    </row>
    <row r="185" spans="1:19" s="181" customFormat="1" ht="10.199999999999999" x14ac:dyDescent="0.2">
      <c r="A185" s="237"/>
      <c r="B185" s="240"/>
      <c r="C185" s="251"/>
      <c r="D185" s="251"/>
      <c r="E185" s="251"/>
      <c r="F185" s="236"/>
      <c r="G185" s="251"/>
      <c r="H185" s="251"/>
      <c r="I185" s="240"/>
      <c r="J185" s="240"/>
      <c r="K185" s="239"/>
      <c r="L185" s="239"/>
      <c r="M185" s="199" t="s">
        <v>44</v>
      </c>
      <c r="N185" s="284"/>
      <c r="O185" s="284"/>
      <c r="P185" s="284"/>
      <c r="Q185" s="251"/>
      <c r="R185" s="203"/>
      <c r="S185" s="399"/>
    </row>
    <row r="186" spans="1:19" s="181" customFormat="1" ht="10.199999999999999" x14ac:dyDescent="0.2">
      <c r="A186" s="237"/>
      <c r="B186" s="240"/>
      <c r="C186" s="251"/>
      <c r="D186" s="251"/>
      <c r="E186" s="251"/>
      <c r="F186" s="236"/>
      <c r="G186" s="251"/>
      <c r="H186" s="251"/>
      <c r="I186" s="240"/>
      <c r="J186" s="240"/>
      <c r="K186" s="239"/>
      <c r="L186" s="239"/>
      <c r="M186" s="199" t="s">
        <v>45</v>
      </c>
      <c r="N186" s="284"/>
      <c r="O186" s="284"/>
      <c r="P186" s="284"/>
      <c r="Q186" s="251"/>
      <c r="R186" s="203"/>
      <c r="S186" s="399"/>
    </row>
    <row r="187" spans="1:19" s="181" customFormat="1" ht="10.199999999999999" x14ac:dyDescent="0.2">
      <c r="A187" s="237"/>
      <c r="B187" s="240"/>
      <c r="C187" s="251"/>
      <c r="D187" s="251"/>
      <c r="E187" s="251"/>
      <c r="F187" s="236"/>
      <c r="G187" s="251"/>
      <c r="H187" s="251"/>
      <c r="I187" s="240"/>
      <c r="J187" s="240"/>
      <c r="K187" s="239"/>
      <c r="L187" s="239"/>
      <c r="M187" s="199" t="s">
        <v>46</v>
      </c>
      <c r="N187" s="284"/>
      <c r="O187" s="284"/>
      <c r="P187" s="284"/>
      <c r="Q187" s="251"/>
      <c r="R187" s="203"/>
      <c r="S187" s="399"/>
    </row>
    <row r="188" spans="1:19" s="181" customFormat="1" ht="10.199999999999999" x14ac:dyDescent="0.2">
      <c r="A188" s="237"/>
      <c r="B188" s="240"/>
      <c r="C188" s="251"/>
      <c r="D188" s="251"/>
      <c r="E188" s="251"/>
      <c r="F188" s="236"/>
      <c r="G188" s="251"/>
      <c r="H188" s="251"/>
      <c r="I188" s="240"/>
      <c r="J188" s="240"/>
      <c r="K188" s="239"/>
      <c r="L188" s="239"/>
      <c r="M188" s="211" t="s">
        <v>1245</v>
      </c>
      <c r="N188" s="250" t="s">
        <v>1177</v>
      </c>
      <c r="O188" s="276"/>
      <c r="P188" s="276"/>
      <c r="Q188" s="251"/>
      <c r="R188" s="203"/>
      <c r="S188" s="399"/>
    </row>
    <row r="189" spans="1:19" s="181" customFormat="1" ht="10.199999999999999" x14ac:dyDescent="0.2">
      <c r="A189" s="237">
        <f>A183+1</f>
        <v>31</v>
      </c>
      <c r="B189" s="243">
        <v>44342</v>
      </c>
      <c r="C189" s="243" t="s">
        <v>486</v>
      </c>
      <c r="D189" s="236" t="s">
        <v>719</v>
      </c>
      <c r="E189" s="236" t="s">
        <v>1125</v>
      </c>
      <c r="F189" s="236" t="s">
        <v>957</v>
      </c>
      <c r="G189" s="247" t="s">
        <v>720</v>
      </c>
      <c r="H189" s="247" t="s">
        <v>989</v>
      </c>
      <c r="I189" s="247" t="s">
        <v>723</v>
      </c>
      <c r="J189" s="250">
        <v>15.9</v>
      </c>
      <c r="K189" s="238">
        <f>S189*9</f>
        <v>93.184877263581484</v>
      </c>
      <c r="L189" s="238">
        <f>S189*3</f>
        <v>31.061625754527164</v>
      </c>
      <c r="M189" s="199" t="s">
        <v>42</v>
      </c>
      <c r="N189" s="250" t="s">
        <v>1151</v>
      </c>
      <c r="O189" s="284"/>
      <c r="P189" s="284"/>
      <c r="Q189" s="251"/>
      <c r="R189" s="203"/>
      <c r="S189" s="402">
        <f>14.5*J189/2*(1+1.2+0.9)*1.2*12/1988*4</f>
        <v>10.353875251509054</v>
      </c>
    </row>
    <row r="190" spans="1:19" s="181" customFormat="1" ht="20.399999999999999" x14ac:dyDescent="0.2">
      <c r="A190" s="237"/>
      <c r="B190" s="240"/>
      <c r="C190" s="251"/>
      <c r="D190" s="251"/>
      <c r="E190" s="251"/>
      <c r="F190" s="236"/>
      <c r="G190" s="247"/>
      <c r="H190" s="251"/>
      <c r="I190" s="240"/>
      <c r="J190" s="240"/>
      <c r="K190" s="239"/>
      <c r="L190" s="239"/>
      <c r="M190" s="199" t="s">
        <v>43</v>
      </c>
      <c r="N190" s="284"/>
      <c r="O190" s="284"/>
      <c r="P190" s="284"/>
      <c r="Q190" s="251"/>
      <c r="R190" s="203"/>
      <c r="S190" s="399"/>
    </row>
    <row r="191" spans="1:19" s="181" customFormat="1" ht="10.199999999999999" x14ac:dyDescent="0.2">
      <c r="A191" s="237"/>
      <c r="B191" s="240"/>
      <c r="C191" s="251"/>
      <c r="D191" s="251"/>
      <c r="E191" s="251"/>
      <c r="F191" s="236"/>
      <c r="G191" s="247"/>
      <c r="H191" s="251"/>
      <c r="I191" s="240"/>
      <c r="J191" s="240"/>
      <c r="K191" s="239"/>
      <c r="L191" s="239"/>
      <c r="M191" s="199" t="s">
        <v>44</v>
      </c>
      <c r="N191" s="284"/>
      <c r="O191" s="284"/>
      <c r="P191" s="284"/>
      <c r="Q191" s="251"/>
      <c r="R191" s="203"/>
      <c r="S191" s="399"/>
    </row>
    <row r="192" spans="1:19" s="181" customFormat="1" ht="20.399999999999999" customHeight="1" x14ac:dyDescent="0.2">
      <c r="A192" s="237"/>
      <c r="B192" s="240"/>
      <c r="C192" s="251"/>
      <c r="D192" s="251"/>
      <c r="E192" s="251"/>
      <c r="F192" s="236"/>
      <c r="G192" s="247"/>
      <c r="H192" s="251"/>
      <c r="I192" s="240"/>
      <c r="J192" s="240"/>
      <c r="K192" s="239"/>
      <c r="L192" s="239"/>
      <c r="M192" s="199" t="s">
        <v>45</v>
      </c>
      <c r="N192" s="284"/>
      <c r="O192" s="284"/>
      <c r="P192" s="284"/>
      <c r="Q192" s="251"/>
      <c r="R192" s="203"/>
      <c r="S192" s="399"/>
    </row>
    <row r="193" spans="1:19" s="181" customFormat="1" ht="13.2" customHeight="1" x14ac:dyDescent="0.2">
      <c r="A193" s="237"/>
      <c r="B193" s="240"/>
      <c r="C193" s="251"/>
      <c r="D193" s="251"/>
      <c r="E193" s="251"/>
      <c r="F193" s="236"/>
      <c r="G193" s="247"/>
      <c r="H193" s="251"/>
      <c r="I193" s="240"/>
      <c r="J193" s="240"/>
      <c r="K193" s="239"/>
      <c r="L193" s="239"/>
      <c r="M193" s="199" t="s">
        <v>46</v>
      </c>
      <c r="N193" s="284"/>
      <c r="O193" s="284"/>
      <c r="P193" s="284"/>
      <c r="Q193" s="251"/>
      <c r="R193" s="203"/>
      <c r="S193" s="399"/>
    </row>
    <row r="194" spans="1:19" s="181" customFormat="1" ht="15.6" customHeight="1" x14ac:dyDescent="0.2">
      <c r="A194" s="237"/>
      <c r="B194" s="240"/>
      <c r="C194" s="251"/>
      <c r="D194" s="251"/>
      <c r="E194" s="251"/>
      <c r="F194" s="236"/>
      <c r="G194" s="247"/>
      <c r="H194" s="251"/>
      <c r="I194" s="240"/>
      <c r="J194" s="240"/>
      <c r="K194" s="239"/>
      <c r="L194" s="239"/>
      <c r="M194" s="211" t="s">
        <v>1245</v>
      </c>
      <c r="N194" s="250" t="s">
        <v>1177</v>
      </c>
      <c r="O194" s="276"/>
      <c r="P194" s="276"/>
      <c r="Q194" s="251"/>
      <c r="R194" s="203"/>
      <c r="S194" s="399"/>
    </row>
    <row r="195" spans="1:19" s="181" customFormat="1" ht="10.199999999999999" x14ac:dyDescent="0.2">
      <c r="A195" s="237">
        <f>A189+1</f>
        <v>32</v>
      </c>
      <c r="B195" s="243">
        <v>44342</v>
      </c>
      <c r="C195" s="243" t="s">
        <v>486</v>
      </c>
      <c r="D195" s="236" t="s">
        <v>724</v>
      </c>
      <c r="E195" s="236" t="s">
        <v>1125</v>
      </c>
      <c r="F195" s="236" t="s">
        <v>957</v>
      </c>
      <c r="G195" s="247" t="s">
        <v>725</v>
      </c>
      <c r="H195" s="247" t="s">
        <v>990</v>
      </c>
      <c r="I195" s="247" t="s">
        <v>723</v>
      </c>
      <c r="J195" s="250">
        <v>15.9</v>
      </c>
      <c r="K195" s="238">
        <f>S195*9</f>
        <v>93.184877263581484</v>
      </c>
      <c r="L195" s="238">
        <f>S195*3</f>
        <v>31.061625754527164</v>
      </c>
      <c r="M195" s="199" t="s">
        <v>42</v>
      </c>
      <c r="N195" s="250" t="s">
        <v>1151</v>
      </c>
      <c r="O195" s="284"/>
      <c r="P195" s="284"/>
      <c r="Q195" s="251"/>
      <c r="R195" s="203"/>
      <c r="S195" s="402">
        <f>14.5*J195/2*1*(1+1.2+0.9)*1.2*12/1988*4</f>
        <v>10.353875251509054</v>
      </c>
    </row>
    <row r="196" spans="1:19" s="181" customFormat="1" ht="20.399999999999999" x14ac:dyDescent="0.2">
      <c r="A196" s="237"/>
      <c r="B196" s="240"/>
      <c r="C196" s="251"/>
      <c r="D196" s="251"/>
      <c r="E196" s="251"/>
      <c r="F196" s="236"/>
      <c r="G196" s="251"/>
      <c r="H196" s="251"/>
      <c r="I196" s="240"/>
      <c r="J196" s="240"/>
      <c r="K196" s="239"/>
      <c r="L196" s="239"/>
      <c r="M196" s="199" t="s">
        <v>43</v>
      </c>
      <c r="N196" s="284"/>
      <c r="O196" s="284"/>
      <c r="P196" s="284"/>
      <c r="Q196" s="251"/>
      <c r="R196" s="203"/>
      <c r="S196" s="399"/>
    </row>
    <row r="197" spans="1:19" s="181" customFormat="1" ht="10.199999999999999" x14ac:dyDescent="0.2">
      <c r="A197" s="237"/>
      <c r="B197" s="240"/>
      <c r="C197" s="251"/>
      <c r="D197" s="251"/>
      <c r="E197" s="251"/>
      <c r="F197" s="236"/>
      <c r="G197" s="251"/>
      <c r="H197" s="251"/>
      <c r="I197" s="240"/>
      <c r="J197" s="240"/>
      <c r="K197" s="239"/>
      <c r="L197" s="239"/>
      <c r="M197" s="199" t="s">
        <v>44</v>
      </c>
      <c r="N197" s="284"/>
      <c r="O197" s="284"/>
      <c r="P197" s="284"/>
      <c r="Q197" s="251"/>
      <c r="R197" s="203"/>
      <c r="S197" s="399"/>
    </row>
    <row r="198" spans="1:19" s="181" customFormat="1" ht="10.199999999999999" x14ac:dyDescent="0.2">
      <c r="A198" s="237"/>
      <c r="B198" s="240"/>
      <c r="C198" s="251"/>
      <c r="D198" s="251"/>
      <c r="E198" s="251"/>
      <c r="F198" s="236"/>
      <c r="G198" s="251"/>
      <c r="H198" s="251"/>
      <c r="I198" s="240"/>
      <c r="J198" s="240"/>
      <c r="K198" s="239"/>
      <c r="L198" s="239"/>
      <c r="M198" s="199" t="s">
        <v>45</v>
      </c>
      <c r="N198" s="284"/>
      <c r="O198" s="284"/>
      <c r="P198" s="284"/>
      <c r="Q198" s="251"/>
      <c r="R198" s="203"/>
      <c r="S198" s="399"/>
    </row>
    <row r="199" spans="1:19" s="181" customFormat="1" ht="10.199999999999999" x14ac:dyDescent="0.2">
      <c r="A199" s="237"/>
      <c r="B199" s="240"/>
      <c r="C199" s="251"/>
      <c r="D199" s="251"/>
      <c r="E199" s="251"/>
      <c r="F199" s="236"/>
      <c r="G199" s="251"/>
      <c r="H199" s="251"/>
      <c r="I199" s="240"/>
      <c r="J199" s="240"/>
      <c r="K199" s="239"/>
      <c r="L199" s="239"/>
      <c r="M199" s="199" t="s">
        <v>46</v>
      </c>
      <c r="N199" s="284"/>
      <c r="O199" s="284"/>
      <c r="P199" s="284"/>
      <c r="Q199" s="251"/>
      <c r="R199" s="203"/>
      <c r="S199" s="399"/>
    </row>
    <row r="200" spans="1:19" s="181" customFormat="1" ht="10.199999999999999" x14ac:dyDescent="0.2">
      <c r="A200" s="237"/>
      <c r="B200" s="240"/>
      <c r="C200" s="251"/>
      <c r="D200" s="251"/>
      <c r="E200" s="251"/>
      <c r="F200" s="236"/>
      <c r="G200" s="251"/>
      <c r="H200" s="251"/>
      <c r="I200" s="240"/>
      <c r="J200" s="240"/>
      <c r="K200" s="239"/>
      <c r="L200" s="239"/>
      <c r="M200" s="211" t="s">
        <v>1245</v>
      </c>
      <c r="N200" s="250" t="s">
        <v>1177</v>
      </c>
      <c r="O200" s="276"/>
      <c r="P200" s="276"/>
      <c r="Q200" s="251"/>
      <c r="R200" s="203"/>
      <c r="S200" s="399"/>
    </row>
    <row r="201" spans="1:19" s="181" customFormat="1" ht="10.199999999999999" x14ac:dyDescent="0.2">
      <c r="A201" s="237">
        <f>A195+1</f>
        <v>33</v>
      </c>
      <c r="B201" s="243">
        <v>44341</v>
      </c>
      <c r="C201" s="243" t="s">
        <v>486</v>
      </c>
      <c r="D201" s="236" t="s">
        <v>726</v>
      </c>
      <c r="E201" s="236" t="s">
        <v>1125</v>
      </c>
      <c r="F201" s="236" t="s">
        <v>957</v>
      </c>
      <c r="G201" s="247" t="s">
        <v>727</v>
      </c>
      <c r="H201" s="247" t="s">
        <v>991</v>
      </c>
      <c r="I201" s="247" t="s">
        <v>728</v>
      </c>
      <c r="J201" s="250">
        <v>15.9</v>
      </c>
      <c r="K201" s="238">
        <f>S201*9</f>
        <v>186.36975452716297</v>
      </c>
      <c r="L201" s="238">
        <f>S201*3</f>
        <v>62.123251509054327</v>
      </c>
      <c r="M201" s="199" t="s">
        <v>42</v>
      </c>
      <c r="N201" s="250" t="s">
        <v>1151</v>
      </c>
      <c r="O201" s="284"/>
      <c r="P201" s="284"/>
      <c r="Q201" s="251"/>
      <c r="R201" s="203"/>
      <c r="S201" s="402">
        <f>14.5*J201/2*1*(1+1.2+0.9)*1.2*12/1988*8</f>
        <v>20.707750503018108</v>
      </c>
    </row>
    <row r="202" spans="1:19" s="181" customFormat="1" ht="20.399999999999999" x14ac:dyDescent="0.2">
      <c r="A202" s="237"/>
      <c r="B202" s="240"/>
      <c r="C202" s="251"/>
      <c r="D202" s="251"/>
      <c r="E202" s="251"/>
      <c r="F202" s="236"/>
      <c r="G202" s="251"/>
      <c r="H202" s="251"/>
      <c r="I202" s="240"/>
      <c r="J202" s="240"/>
      <c r="K202" s="239"/>
      <c r="L202" s="239"/>
      <c r="M202" s="199" t="s">
        <v>43</v>
      </c>
      <c r="N202" s="284"/>
      <c r="O202" s="284"/>
      <c r="P202" s="284"/>
      <c r="Q202" s="251"/>
      <c r="R202" s="203"/>
      <c r="S202" s="399"/>
    </row>
    <row r="203" spans="1:19" s="181" customFormat="1" ht="10.199999999999999" x14ac:dyDescent="0.2">
      <c r="A203" s="237"/>
      <c r="B203" s="240"/>
      <c r="C203" s="251"/>
      <c r="D203" s="251"/>
      <c r="E203" s="251"/>
      <c r="F203" s="236"/>
      <c r="G203" s="251"/>
      <c r="H203" s="251"/>
      <c r="I203" s="240"/>
      <c r="J203" s="240"/>
      <c r="K203" s="239"/>
      <c r="L203" s="239"/>
      <c r="M203" s="199" t="s">
        <v>44</v>
      </c>
      <c r="N203" s="284"/>
      <c r="O203" s="284"/>
      <c r="P203" s="284"/>
      <c r="Q203" s="251"/>
      <c r="R203" s="203"/>
      <c r="S203" s="399"/>
    </row>
    <row r="204" spans="1:19" s="181" customFormat="1" ht="10.199999999999999" x14ac:dyDescent="0.2">
      <c r="A204" s="237"/>
      <c r="B204" s="240"/>
      <c r="C204" s="251"/>
      <c r="D204" s="251"/>
      <c r="E204" s="251"/>
      <c r="F204" s="236"/>
      <c r="G204" s="251"/>
      <c r="H204" s="251"/>
      <c r="I204" s="240"/>
      <c r="J204" s="240"/>
      <c r="K204" s="239"/>
      <c r="L204" s="239"/>
      <c r="M204" s="199" t="s">
        <v>45</v>
      </c>
      <c r="N204" s="284"/>
      <c r="O204" s="284"/>
      <c r="P204" s="284"/>
      <c r="Q204" s="251"/>
      <c r="R204" s="203"/>
      <c r="S204" s="399"/>
    </row>
    <row r="205" spans="1:19" s="181" customFormat="1" ht="10.199999999999999" x14ac:dyDescent="0.2">
      <c r="A205" s="237"/>
      <c r="B205" s="240"/>
      <c r="C205" s="251"/>
      <c r="D205" s="251"/>
      <c r="E205" s="251"/>
      <c r="F205" s="236"/>
      <c r="G205" s="251"/>
      <c r="H205" s="251"/>
      <c r="I205" s="240"/>
      <c r="J205" s="240"/>
      <c r="K205" s="239"/>
      <c r="L205" s="239"/>
      <c r="M205" s="199" t="s">
        <v>46</v>
      </c>
      <c r="N205" s="284"/>
      <c r="O205" s="284"/>
      <c r="P205" s="284"/>
      <c r="Q205" s="251"/>
      <c r="R205" s="203"/>
      <c r="S205" s="399"/>
    </row>
    <row r="206" spans="1:19" s="181" customFormat="1" ht="10.199999999999999" x14ac:dyDescent="0.2">
      <c r="A206" s="237"/>
      <c r="B206" s="240"/>
      <c r="C206" s="251"/>
      <c r="D206" s="251"/>
      <c r="E206" s="251"/>
      <c r="F206" s="236"/>
      <c r="G206" s="251"/>
      <c r="H206" s="251"/>
      <c r="I206" s="240"/>
      <c r="J206" s="240"/>
      <c r="K206" s="239"/>
      <c r="L206" s="239"/>
      <c r="M206" s="211" t="s">
        <v>1245</v>
      </c>
      <c r="N206" s="250" t="s">
        <v>1177</v>
      </c>
      <c r="O206" s="276"/>
      <c r="P206" s="276"/>
      <c r="Q206" s="251"/>
      <c r="R206" s="203"/>
      <c r="S206" s="399"/>
    </row>
    <row r="207" spans="1:19" s="181" customFormat="1" ht="10.199999999999999" x14ac:dyDescent="0.2">
      <c r="A207" s="237">
        <f>A201+1</f>
        <v>34</v>
      </c>
      <c r="B207" s="243">
        <v>44372</v>
      </c>
      <c r="C207" s="243" t="s">
        <v>486</v>
      </c>
      <c r="D207" s="236" t="s">
        <v>1244</v>
      </c>
      <c r="E207" s="236" t="s">
        <v>1125</v>
      </c>
      <c r="F207" s="236" t="s">
        <v>957</v>
      </c>
      <c r="G207" s="247" t="s">
        <v>730</v>
      </c>
      <c r="H207" s="247" t="s">
        <v>992</v>
      </c>
      <c r="I207" s="247" t="s">
        <v>733</v>
      </c>
      <c r="J207" s="250">
        <v>64.3</v>
      </c>
      <c r="K207" s="238">
        <f>S207*9</f>
        <v>753.6839758551306</v>
      </c>
      <c r="L207" s="238">
        <f>S207*3</f>
        <v>251.22799195171018</v>
      </c>
      <c r="M207" s="199" t="s">
        <v>42</v>
      </c>
      <c r="N207" s="250" t="s">
        <v>1151</v>
      </c>
      <c r="O207" s="284"/>
      <c r="P207" s="284"/>
      <c r="Q207" s="251"/>
      <c r="R207" s="203"/>
      <c r="S207" s="402">
        <f>14.5*J207*1*(1+1.2+0.9)*1.2*12/1988*4</f>
        <v>83.742663983903398</v>
      </c>
    </row>
    <row r="208" spans="1:19" s="181" customFormat="1" ht="20.399999999999999" x14ac:dyDescent="0.2">
      <c r="A208" s="237"/>
      <c r="B208" s="240"/>
      <c r="C208" s="251"/>
      <c r="D208" s="251"/>
      <c r="E208" s="251"/>
      <c r="F208" s="236"/>
      <c r="G208" s="251"/>
      <c r="H208" s="251"/>
      <c r="I208" s="240"/>
      <c r="J208" s="240"/>
      <c r="K208" s="239"/>
      <c r="L208" s="239"/>
      <c r="M208" s="199" t="s">
        <v>43</v>
      </c>
      <c r="N208" s="284"/>
      <c r="O208" s="284"/>
      <c r="P208" s="284"/>
      <c r="Q208" s="251"/>
      <c r="R208" s="203"/>
      <c r="S208" s="399"/>
    </row>
    <row r="209" spans="1:19" s="181" customFormat="1" ht="10.199999999999999" x14ac:dyDescent="0.2">
      <c r="A209" s="237"/>
      <c r="B209" s="240"/>
      <c r="C209" s="251"/>
      <c r="D209" s="251"/>
      <c r="E209" s="251"/>
      <c r="F209" s="236"/>
      <c r="G209" s="251"/>
      <c r="H209" s="251"/>
      <c r="I209" s="240"/>
      <c r="J209" s="240"/>
      <c r="K209" s="239"/>
      <c r="L209" s="239"/>
      <c r="M209" s="199" t="s">
        <v>44</v>
      </c>
      <c r="N209" s="284"/>
      <c r="O209" s="284"/>
      <c r="P209" s="284"/>
      <c r="Q209" s="251"/>
      <c r="R209" s="203"/>
      <c r="S209" s="399"/>
    </row>
    <row r="210" spans="1:19" s="181" customFormat="1" ht="10.199999999999999" x14ac:dyDescent="0.2">
      <c r="A210" s="237"/>
      <c r="B210" s="240"/>
      <c r="C210" s="251"/>
      <c r="D210" s="251"/>
      <c r="E210" s="251"/>
      <c r="F210" s="236"/>
      <c r="G210" s="251"/>
      <c r="H210" s="251"/>
      <c r="I210" s="240"/>
      <c r="J210" s="240"/>
      <c r="K210" s="239"/>
      <c r="L210" s="239"/>
      <c r="M210" s="199" t="s">
        <v>45</v>
      </c>
      <c r="N210" s="284"/>
      <c r="O210" s="284"/>
      <c r="P210" s="284"/>
      <c r="Q210" s="251"/>
      <c r="R210" s="203"/>
      <c r="S210" s="399"/>
    </row>
    <row r="211" spans="1:19" s="181" customFormat="1" ht="10.199999999999999" x14ac:dyDescent="0.2">
      <c r="A211" s="237"/>
      <c r="B211" s="240"/>
      <c r="C211" s="251"/>
      <c r="D211" s="251"/>
      <c r="E211" s="251"/>
      <c r="F211" s="236"/>
      <c r="G211" s="251"/>
      <c r="H211" s="251"/>
      <c r="I211" s="240"/>
      <c r="J211" s="240"/>
      <c r="K211" s="239"/>
      <c r="L211" s="239"/>
      <c r="M211" s="199" t="s">
        <v>46</v>
      </c>
      <c r="N211" s="284"/>
      <c r="O211" s="284"/>
      <c r="P211" s="284"/>
      <c r="Q211" s="251"/>
      <c r="R211" s="203"/>
      <c r="S211" s="399"/>
    </row>
    <row r="212" spans="1:19" s="181" customFormat="1" ht="10.199999999999999" x14ac:dyDescent="0.2">
      <c r="A212" s="237"/>
      <c r="B212" s="240"/>
      <c r="C212" s="251"/>
      <c r="D212" s="251"/>
      <c r="E212" s="251"/>
      <c r="F212" s="236"/>
      <c r="G212" s="251"/>
      <c r="H212" s="251"/>
      <c r="I212" s="240"/>
      <c r="J212" s="240"/>
      <c r="K212" s="239"/>
      <c r="L212" s="239"/>
      <c r="M212" s="211" t="s">
        <v>1245</v>
      </c>
      <c r="N212" s="250" t="s">
        <v>1177</v>
      </c>
      <c r="O212" s="276"/>
      <c r="P212" s="276"/>
      <c r="Q212" s="251"/>
      <c r="R212" s="203"/>
      <c r="S212" s="399"/>
    </row>
    <row r="213" spans="1:19" s="181" customFormat="1" ht="10.199999999999999" x14ac:dyDescent="0.2">
      <c r="A213" s="237">
        <f>A207+1</f>
        <v>35</v>
      </c>
      <c r="B213" s="243">
        <v>44389</v>
      </c>
      <c r="C213" s="243" t="s">
        <v>486</v>
      </c>
      <c r="D213" s="247" t="s">
        <v>734</v>
      </c>
      <c r="E213" s="236" t="s">
        <v>1125</v>
      </c>
      <c r="F213" s="236" t="s">
        <v>957</v>
      </c>
      <c r="G213" s="247" t="s">
        <v>736</v>
      </c>
      <c r="H213" s="247" t="s">
        <v>1210</v>
      </c>
      <c r="I213" s="247" t="s">
        <v>739</v>
      </c>
      <c r="J213" s="250">
        <v>62.7</v>
      </c>
      <c r="K213" s="238">
        <f>S213*9</f>
        <v>734.92978672032189</v>
      </c>
      <c r="L213" s="238">
        <f>S213*3</f>
        <v>244.97659557344062</v>
      </c>
      <c r="M213" s="199" t="s">
        <v>42</v>
      </c>
      <c r="N213" s="250" t="s">
        <v>1151</v>
      </c>
      <c r="O213" s="284"/>
      <c r="P213" s="284"/>
      <c r="Q213" s="251"/>
      <c r="R213" s="203"/>
      <c r="S213" s="404">
        <f>14.5*J213*1*(1+1.2+0.9)*1.2*12/1988*4</f>
        <v>81.658865191146873</v>
      </c>
    </row>
    <row r="214" spans="1:19" s="181" customFormat="1" ht="20.399999999999999" x14ac:dyDescent="0.2">
      <c r="A214" s="237"/>
      <c r="B214" s="240"/>
      <c r="C214" s="251"/>
      <c r="D214" s="251"/>
      <c r="E214" s="251"/>
      <c r="F214" s="236"/>
      <c r="G214" s="251"/>
      <c r="H214" s="251"/>
      <c r="I214" s="240"/>
      <c r="J214" s="240"/>
      <c r="K214" s="239"/>
      <c r="L214" s="239"/>
      <c r="M214" s="199" t="s">
        <v>43</v>
      </c>
      <c r="N214" s="284"/>
      <c r="O214" s="284"/>
      <c r="P214" s="284"/>
      <c r="Q214" s="251"/>
      <c r="R214" s="203"/>
      <c r="S214" s="258"/>
    </row>
    <row r="215" spans="1:19" s="181" customFormat="1" ht="10.199999999999999" x14ac:dyDescent="0.2">
      <c r="A215" s="237"/>
      <c r="B215" s="240"/>
      <c r="C215" s="251"/>
      <c r="D215" s="251"/>
      <c r="E215" s="251"/>
      <c r="F215" s="236"/>
      <c r="G215" s="251"/>
      <c r="H215" s="251"/>
      <c r="I215" s="240"/>
      <c r="J215" s="240"/>
      <c r="K215" s="239"/>
      <c r="L215" s="239"/>
      <c r="M215" s="199" t="s">
        <v>44</v>
      </c>
      <c r="N215" s="284"/>
      <c r="O215" s="284"/>
      <c r="P215" s="284"/>
      <c r="Q215" s="251"/>
      <c r="R215" s="203"/>
      <c r="S215" s="258"/>
    </row>
    <row r="216" spans="1:19" s="181" customFormat="1" ht="10.199999999999999" x14ac:dyDescent="0.2">
      <c r="A216" s="237"/>
      <c r="B216" s="240"/>
      <c r="C216" s="251"/>
      <c r="D216" s="251"/>
      <c r="E216" s="251"/>
      <c r="F216" s="236"/>
      <c r="G216" s="251"/>
      <c r="H216" s="251"/>
      <c r="I216" s="240"/>
      <c r="J216" s="240"/>
      <c r="K216" s="239"/>
      <c r="L216" s="239"/>
      <c r="M216" s="199" t="s">
        <v>45</v>
      </c>
      <c r="N216" s="284"/>
      <c r="O216" s="284"/>
      <c r="P216" s="284"/>
      <c r="Q216" s="251"/>
      <c r="R216" s="203"/>
      <c r="S216" s="258"/>
    </row>
    <row r="217" spans="1:19" s="181" customFormat="1" ht="10.199999999999999" x14ac:dyDescent="0.2">
      <c r="A217" s="237"/>
      <c r="B217" s="240"/>
      <c r="C217" s="251"/>
      <c r="D217" s="251"/>
      <c r="E217" s="251"/>
      <c r="F217" s="236"/>
      <c r="G217" s="251"/>
      <c r="H217" s="251"/>
      <c r="I217" s="240"/>
      <c r="J217" s="240"/>
      <c r="K217" s="239"/>
      <c r="L217" s="239"/>
      <c r="M217" s="199" t="s">
        <v>46</v>
      </c>
      <c r="N217" s="284"/>
      <c r="O217" s="284"/>
      <c r="P217" s="284"/>
      <c r="Q217" s="251"/>
      <c r="R217" s="203"/>
      <c r="S217" s="258"/>
    </row>
    <row r="218" spans="1:19" s="181" customFormat="1" ht="10.199999999999999" x14ac:dyDescent="0.2">
      <c r="A218" s="237"/>
      <c r="B218" s="240"/>
      <c r="C218" s="251"/>
      <c r="D218" s="251"/>
      <c r="E218" s="251"/>
      <c r="F218" s="236"/>
      <c r="G218" s="251"/>
      <c r="H218" s="251"/>
      <c r="I218" s="240"/>
      <c r="J218" s="240"/>
      <c r="K218" s="239"/>
      <c r="L218" s="239"/>
      <c r="M218" s="211" t="s">
        <v>1245</v>
      </c>
      <c r="N218" s="250" t="s">
        <v>1177</v>
      </c>
      <c r="O218" s="276"/>
      <c r="P218" s="276"/>
      <c r="Q218" s="251"/>
      <c r="R218" s="203"/>
      <c r="S218" s="258"/>
    </row>
    <row r="219" spans="1:19" s="181" customFormat="1" ht="10.199999999999999" x14ac:dyDescent="0.2">
      <c r="A219" s="237">
        <f>A213+1</f>
        <v>36</v>
      </c>
      <c r="B219" s="243">
        <v>44397</v>
      </c>
      <c r="C219" s="243" t="s">
        <v>486</v>
      </c>
      <c r="D219" s="247" t="s">
        <v>740</v>
      </c>
      <c r="E219" s="236" t="s">
        <v>1125</v>
      </c>
      <c r="F219" s="236" t="s">
        <v>957</v>
      </c>
      <c r="G219" s="247" t="s">
        <v>742</v>
      </c>
      <c r="H219" s="247" t="s">
        <v>993</v>
      </c>
      <c r="I219" s="247" t="s">
        <v>743</v>
      </c>
      <c r="J219" s="250">
        <v>62.7</v>
      </c>
      <c r="K219" s="238">
        <f>S219*9</f>
        <v>734.92978672032189</v>
      </c>
      <c r="L219" s="238">
        <f>S219*3</f>
        <v>244.97659557344062</v>
      </c>
      <c r="M219" s="199" t="s">
        <v>42</v>
      </c>
      <c r="N219" s="250" t="s">
        <v>1151</v>
      </c>
      <c r="O219" s="284"/>
      <c r="P219" s="284"/>
      <c r="Q219" s="251"/>
      <c r="R219" s="203"/>
      <c r="S219" s="402">
        <f>14.5*J219*1*(1+1.2+0.9)*1.2*12/1988*4</f>
        <v>81.658865191146873</v>
      </c>
    </row>
    <row r="220" spans="1:19" s="181" customFormat="1" ht="20.399999999999999" x14ac:dyDescent="0.2">
      <c r="A220" s="237"/>
      <c r="B220" s="240"/>
      <c r="C220" s="251"/>
      <c r="D220" s="251"/>
      <c r="E220" s="251"/>
      <c r="F220" s="236"/>
      <c r="G220" s="251"/>
      <c r="H220" s="251"/>
      <c r="I220" s="240"/>
      <c r="J220" s="240"/>
      <c r="K220" s="239"/>
      <c r="L220" s="239"/>
      <c r="M220" s="199" t="s">
        <v>43</v>
      </c>
      <c r="N220" s="284"/>
      <c r="O220" s="284"/>
      <c r="P220" s="284"/>
      <c r="Q220" s="251"/>
      <c r="R220" s="203"/>
      <c r="S220" s="399"/>
    </row>
    <row r="221" spans="1:19" s="181" customFormat="1" ht="10.199999999999999" x14ac:dyDescent="0.2">
      <c r="A221" s="237"/>
      <c r="B221" s="240"/>
      <c r="C221" s="251"/>
      <c r="D221" s="251"/>
      <c r="E221" s="251"/>
      <c r="F221" s="236"/>
      <c r="G221" s="251"/>
      <c r="H221" s="251"/>
      <c r="I221" s="240"/>
      <c r="J221" s="240"/>
      <c r="K221" s="239"/>
      <c r="L221" s="239"/>
      <c r="M221" s="199" t="s">
        <v>44</v>
      </c>
      <c r="N221" s="284"/>
      <c r="O221" s="284"/>
      <c r="P221" s="284"/>
      <c r="Q221" s="251"/>
      <c r="R221" s="203"/>
      <c r="S221" s="399"/>
    </row>
    <row r="222" spans="1:19" s="181" customFormat="1" ht="10.199999999999999" x14ac:dyDescent="0.2">
      <c r="A222" s="237"/>
      <c r="B222" s="240"/>
      <c r="C222" s="251"/>
      <c r="D222" s="251"/>
      <c r="E222" s="251"/>
      <c r="F222" s="236"/>
      <c r="G222" s="251"/>
      <c r="H222" s="251"/>
      <c r="I222" s="240"/>
      <c r="J222" s="240"/>
      <c r="K222" s="239"/>
      <c r="L222" s="239"/>
      <c r="M222" s="199" t="s">
        <v>45</v>
      </c>
      <c r="N222" s="284"/>
      <c r="O222" s="284"/>
      <c r="P222" s="284"/>
      <c r="Q222" s="251"/>
      <c r="R222" s="203"/>
      <c r="S222" s="399"/>
    </row>
    <row r="223" spans="1:19" s="181" customFormat="1" ht="10.199999999999999" x14ac:dyDescent="0.2">
      <c r="A223" s="237"/>
      <c r="B223" s="240"/>
      <c r="C223" s="251"/>
      <c r="D223" s="251"/>
      <c r="E223" s="251"/>
      <c r="F223" s="236"/>
      <c r="G223" s="251"/>
      <c r="H223" s="251"/>
      <c r="I223" s="240"/>
      <c r="J223" s="240"/>
      <c r="K223" s="239"/>
      <c r="L223" s="239"/>
      <c r="M223" s="199" t="s">
        <v>46</v>
      </c>
      <c r="N223" s="284"/>
      <c r="O223" s="284"/>
      <c r="P223" s="284"/>
      <c r="Q223" s="251"/>
      <c r="R223" s="203"/>
      <c r="S223" s="399"/>
    </row>
    <row r="224" spans="1:19" s="181" customFormat="1" ht="10.199999999999999" x14ac:dyDescent="0.2">
      <c r="A224" s="237"/>
      <c r="B224" s="240"/>
      <c r="C224" s="251"/>
      <c r="D224" s="251"/>
      <c r="E224" s="251"/>
      <c r="F224" s="236"/>
      <c r="G224" s="251"/>
      <c r="H224" s="251"/>
      <c r="I224" s="257"/>
      <c r="J224" s="240"/>
      <c r="K224" s="239"/>
      <c r="L224" s="239"/>
      <c r="M224" s="211" t="s">
        <v>1245</v>
      </c>
      <c r="N224" s="250" t="s">
        <v>1177</v>
      </c>
      <c r="O224" s="276"/>
      <c r="P224" s="276"/>
      <c r="Q224" s="251"/>
      <c r="R224" s="203"/>
      <c r="S224" s="399"/>
    </row>
    <row r="225" spans="1:19" s="181" customFormat="1" ht="10.199999999999999" x14ac:dyDescent="0.2">
      <c r="A225" s="237">
        <f>A219+1</f>
        <v>37</v>
      </c>
      <c r="B225" s="243">
        <v>44341</v>
      </c>
      <c r="C225" s="243" t="s">
        <v>486</v>
      </c>
      <c r="D225" s="236" t="s">
        <v>774</v>
      </c>
      <c r="E225" s="236" t="s">
        <v>1126</v>
      </c>
      <c r="F225" s="236" t="s">
        <v>957</v>
      </c>
      <c r="G225" s="247" t="s">
        <v>775</v>
      </c>
      <c r="H225" s="247" t="s">
        <v>994</v>
      </c>
      <c r="I225" s="247" t="s">
        <v>778</v>
      </c>
      <c r="J225" s="248">
        <v>28.5</v>
      </c>
      <c r="K225" s="238">
        <f>S225*6</f>
        <v>893.97177183240774</v>
      </c>
      <c r="L225" s="238">
        <f>S225*3</f>
        <v>446.98588591620387</v>
      </c>
      <c r="M225" s="199" t="s">
        <v>42</v>
      </c>
      <c r="N225" s="250" t="s">
        <v>1151</v>
      </c>
      <c r="O225" s="284"/>
      <c r="P225" s="284"/>
      <c r="Q225" s="251"/>
      <c r="R225" s="203"/>
      <c r="S225" s="245">
        <f>14.5*J225*1*(1+1.2+0.9)*1.2*12/1981*16</f>
        <v>148.9952953054013</v>
      </c>
    </row>
    <row r="226" spans="1:19" s="181" customFormat="1" ht="20.399999999999999" x14ac:dyDescent="0.2">
      <c r="A226" s="237"/>
      <c r="B226" s="240"/>
      <c r="C226" s="251"/>
      <c r="D226" s="251"/>
      <c r="E226" s="251"/>
      <c r="F226" s="236"/>
      <c r="G226" s="251"/>
      <c r="H226" s="251"/>
      <c r="I226" s="240"/>
      <c r="J226" s="240"/>
      <c r="K226" s="239"/>
      <c r="L226" s="239"/>
      <c r="M226" s="199" t="s">
        <v>43</v>
      </c>
      <c r="N226" s="284"/>
      <c r="O226" s="284"/>
      <c r="P226" s="284"/>
      <c r="Q226" s="251"/>
      <c r="R226" s="203"/>
      <c r="S226" s="399"/>
    </row>
    <row r="227" spans="1:19" s="181" customFormat="1" ht="10.199999999999999" x14ac:dyDescent="0.2">
      <c r="A227" s="237"/>
      <c r="B227" s="240"/>
      <c r="C227" s="251"/>
      <c r="D227" s="251"/>
      <c r="E227" s="251"/>
      <c r="F227" s="236"/>
      <c r="G227" s="251"/>
      <c r="H227" s="251"/>
      <c r="I227" s="240"/>
      <c r="J227" s="240"/>
      <c r="K227" s="239"/>
      <c r="L227" s="239"/>
      <c r="M227" s="199" t="s">
        <v>44</v>
      </c>
      <c r="N227" s="284"/>
      <c r="O227" s="284"/>
      <c r="P227" s="284"/>
      <c r="Q227" s="251"/>
      <c r="R227" s="203"/>
      <c r="S227" s="399"/>
    </row>
    <row r="228" spans="1:19" s="181" customFormat="1" ht="10.199999999999999" x14ac:dyDescent="0.2">
      <c r="A228" s="237"/>
      <c r="B228" s="240"/>
      <c r="C228" s="251"/>
      <c r="D228" s="251"/>
      <c r="E228" s="251"/>
      <c r="F228" s="236"/>
      <c r="G228" s="251"/>
      <c r="H228" s="251"/>
      <c r="I228" s="240"/>
      <c r="J228" s="240"/>
      <c r="K228" s="239"/>
      <c r="L228" s="239"/>
      <c r="M228" s="199" t="s">
        <v>45</v>
      </c>
      <c r="N228" s="284"/>
      <c r="O228" s="284"/>
      <c r="P228" s="284"/>
      <c r="Q228" s="251"/>
      <c r="R228" s="203"/>
      <c r="S228" s="399"/>
    </row>
    <row r="229" spans="1:19" s="181" customFormat="1" ht="10.199999999999999" x14ac:dyDescent="0.2">
      <c r="A229" s="237"/>
      <c r="B229" s="240"/>
      <c r="C229" s="251"/>
      <c r="D229" s="251"/>
      <c r="E229" s="251"/>
      <c r="F229" s="236"/>
      <c r="G229" s="251"/>
      <c r="H229" s="251"/>
      <c r="I229" s="240"/>
      <c r="J229" s="240"/>
      <c r="K229" s="239"/>
      <c r="L229" s="239"/>
      <c r="M229" s="199" t="s">
        <v>46</v>
      </c>
      <c r="N229" s="284"/>
      <c r="O229" s="284"/>
      <c r="P229" s="284"/>
      <c r="Q229" s="251"/>
      <c r="R229" s="203"/>
      <c r="S229" s="399"/>
    </row>
    <row r="230" spans="1:19" s="181" customFormat="1" ht="10.199999999999999" x14ac:dyDescent="0.2">
      <c r="A230" s="237"/>
      <c r="B230" s="240"/>
      <c r="C230" s="251"/>
      <c r="D230" s="251"/>
      <c r="E230" s="251"/>
      <c r="F230" s="236"/>
      <c r="G230" s="251"/>
      <c r="H230" s="251"/>
      <c r="I230" s="240"/>
      <c r="J230" s="240"/>
      <c r="K230" s="239"/>
      <c r="L230" s="239"/>
      <c r="M230" s="211" t="s">
        <v>1245</v>
      </c>
      <c r="N230" s="250" t="s">
        <v>1177</v>
      </c>
      <c r="O230" s="276"/>
      <c r="P230" s="276"/>
      <c r="Q230" s="251"/>
      <c r="R230" s="203"/>
      <c r="S230" s="399"/>
    </row>
    <row r="231" spans="1:19" s="181" customFormat="1" ht="10.199999999999999" x14ac:dyDescent="0.2">
      <c r="A231" s="237">
        <f>A225+1</f>
        <v>38</v>
      </c>
      <c r="B231" s="243">
        <v>43215</v>
      </c>
      <c r="C231" s="256">
        <v>45040</v>
      </c>
      <c r="D231" s="236" t="s">
        <v>780</v>
      </c>
      <c r="E231" s="236" t="s">
        <v>1127</v>
      </c>
      <c r="F231" s="236" t="s">
        <v>957</v>
      </c>
      <c r="G231" s="247" t="s">
        <v>781</v>
      </c>
      <c r="H231" s="247" t="s">
        <v>1270</v>
      </c>
      <c r="I231" s="247" t="s">
        <v>785</v>
      </c>
      <c r="J231" s="250">
        <v>168.9</v>
      </c>
      <c r="K231" s="238">
        <f>S231*6</f>
        <v>65595.355199999991</v>
      </c>
      <c r="L231" s="238">
        <f>S231*3</f>
        <v>32797.677599999995</v>
      </c>
      <c r="M231" s="199" t="s">
        <v>42</v>
      </c>
      <c r="N231" s="236" t="s">
        <v>1142</v>
      </c>
      <c r="O231" s="242"/>
      <c r="P231" s="250" t="s">
        <v>781</v>
      </c>
      <c r="Q231" s="251"/>
      <c r="R231" s="203"/>
      <c r="S231" s="245">
        <f>14.5*J231*1.2*(1+1.2+0.9)*1.2</f>
        <v>10932.5592</v>
      </c>
    </row>
    <row r="232" spans="1:19" s="181" customFormat="1" ht="20.399999999999999" x14ac:dyDescent="0.2">
      <c r="A232" s="237"/>
      <c r="B232" s="240"/>
      <c r="C232" s="240"/>
      <c r="D232" s="251"/>
      <c r="E232" s="251"/>
      <c r="F232" s="236"/>
      <c r="G232" s="251"/>
      <c r="H232" s="251"/>
      <c r="I232" s="240"/>
      <c r="J232" s="240"/>
      <c r="K232" s="239"/>
      <c r="L232" s="239"/>
      <c r="M232" s="199" t="s">
        <v>43</v>
      </c>
      <c r="N232" s="242"/>
      <c r="O232" s="242"/>
      <c r="P232" s="267"/>
      <c r="Q232" s="251"/>
      <c r="R232" s="203"/>
      <c r="S232" s="399"/>
    </row>
    <row r="233" spans="1:19" s="181" customFormat="1" ht="10.199999999999999" x14ac:dyDescent="0.2">
      <c r="A233" s="237"/>
      <c r="B233" s="240"/>
      <c r="C233" s="240"/>
      <c r="D233" s="251"/>
      <c r="E233" s="251"/>
      <c r="F233" s="236"/>
      <c r="G233" s="251"/>
      <c r="H233" s="251"/>
      <c r="I233" s="240"/>
      <c r="J233" s="240"/>
      <c r="K233" s="239"/>
      <c r="L233" s="239"/>
      <c r="M233" s="199" t="s">
        <v>44</v>
      </c>
      <c r="N233" s="242"/>
      <c r="O233" s="242"/>
      <c r="P233" s="267"/>
      <c r="Q233" s="251"/>
      <c r="R233" s="203"/>
      <c r="S233" s="399"/>
    </row>
    <row r="234" spans="1:19" s="181" customFormat="1" ht="10.199999999999999" x14ac:dyDescent="0.2">
      <c r="A234" s="237"/>
      <c r="B234" s="240"/>
      <c r="C234" s="240"/>
      <c r="D234" s="251"/>
      <c r="E234" s="251"/>
      <c r="F234" s="236"/>
      <c r="G234" s="251"/>
      <c r="H234" s="251"/>
      <c r="I234" s="240"/>
      <c r="J234" s="240"/>
      <c r="K234" s="239"/>
      <c r="L234" s="239"/>
      <c r="M234" s="199" t="s">
        <v>45</v>
      </c>
      <c r="N234" s="242"/>
      <c r="O234" s="242"/>
      <c r="P234" s="267"/>
      <c r="Q234" s="251"/>
      <c r="R234" s="203"/>
      <c r="S234" s="399"/>
    </row>
    <row r="235" spans="1:19" s="181" customFormat="1" ht="10.199999999999999" x14ac:dyDescent="0.2">
      <c r="A235" s="237"/>
      <c r="B235" s="240"/>
      <c r="C235" s="240"/>
      <c r="D235" s="251"/>
      <c r="E235" s="251"/>
      <c r="F235" s="236"/>
      <c r="G235" s="251"/>
      <c r="H235" s="251"/>
      <c r="I235" s="240"/>
      <c r="J235" s="240"/>
      <c r="K235" s="239"/>
      <c r="L235" s="239"/>
      <c r="M235" s="199" t="s">
        <v>46</v>
      </c>
      <c r="N235" s="242"/>
      <c r="O235" s="242"/>
      <c r="P235" s="267"/>
      <c r="Q235" s="251"/>
      <c r="R235" s="203"/>
      <c r="S235" s="399"/>
    </row>
    <row r="236" spans="1:19" s="181" customFormat="1" ht="10.199999999999999" x14ac:dyDescent="0.2">
      <c r="A236" s="237"/>
      <c r="B236" s="240"/>
      <c r="C236" s="240"/>
      <c r="D236" s="251"/>
      <c r="E236" s="251"/>
      <c r="F236" s="236"/>
      <c r="G236" s="251"/>
      <c r="H236" s="251"/>
      <c r="I236" s="257"/>
      <c r="J236" s="240"/>
      <c r="K236" s="239"/>
      <c r="L236" s="239"/>
      <c r="M236" s="211" t="s">
        <v>1245</v>
      </c>
      <c r="N236" s="236" t="s">
        <v>1177</v>
      </c>
      <c r="O236" s="214"/>
      <c r="P236" s="267"/>
      <c r="Q236" s="251"/>
      <c r="R236" s="203"/>
      <c r="S236" s="399"/>
    </row>
    <row r="237" spans="1:19" s="181" customFormat="1" ht="10.199999999999999" x14ac:dyDescent="0.2">
      <c r="A237" s="237">
        <f>A231+1</f>
        <v>39</v>
      </c>
      <c r="B237" s="259">
        <v>43188</v>
      </c>
      <c r="C237" s="259">
        <v>45013</v>
      </c>
      <c r="D237" s="236" t="s">
        <v>791</v>
      </c>
      <c r="E237" s="236" t="s">
        <v>1127</v>
      </c>
      <c r="F237" s="236" t="s">
        <v>957</v>
      </c>
      <c r="G237" s="236" t="s">
        <v>305</v>
      </c>
      <c r="H237" s="236" t="s">
        <v>995</v>
      </c>
      <c r="I237" s="236" t="s">
        <v>795</v>
      </c>
      <c r="J237" s="236">
        <v>103.89</v>
      </c>
      <c r="K237" s="238">
        <f>S237*9</f>
        <v>60521.327279999998</v>
      </c>
      <c r="L237" s="238">
        <f>S237*3</f>
        <v>20173.77576</v>
      </c>
      <c r="M237" s="199" t="s">
        <v>42</v>
      </c>
      <c r="N237" s="172">
        <v>752.06</v>
      </c>
      <c r="O237" s="172">
        <v>154.37</v>
      </c>
      <c r="P237" s="241" t="s">
        <v>305</v>
      </c>
      <c r="Q237" s="236" t="s">
        <v>1240</v>
      </c>
      <c r="R237" s="203"/>
      <c r="S237" s="245">
        <f>14.5*J237*1.2*(1+1.2+0.9)*1.2</f>
        <v>6724.5919199999998</v>
      </c>
    </row>
    <row r="238" spans="1:19" s="181" customFormat="1" ht="20.399999999999999" x14ac:dyDescent="0.2">
      <c r="A238" s="237"/>
      <c r="B238" s="251"/>
      <c r="C238" s="251"/>
      <c r="D238" s="251"/>
      <c r="E238" s="251"/>
      <c r="F238" s="236"/>
      <c r="G238" s="251"/>
      <c r="H238" s="251"/>
      <c r="I238" s="240"/>
      <c r="J238" s="240"/>
      <c r="K238" s="239"/>
      <c r="L238" s="239"/>
      <c r="M238" s="199" t="s">
        <v>43</v>
      </c>
      <c r="N238" s="172">
        <v>244.16</v>
      </c>
      <c r="O238" s="172">
        <v>94.33</v>
      </c>
      <c r="P238" s="267"/>
      <c r="Q238" s="236"/>
      <c r="R238" s="203"/>
      <c r="S238" s="399"/>
    </row>
    <row r="239" spans="1:19" s="181" customFormat="1" ht="10.199999999999999" x14ac:dyDescent="0.2">
      <c r="A239" s="237"/>
      <c r="B239" s="251"/>
      <c r="C239" s="251"/>
      <c r="D239" s="251"/>
      <c r="E239" s="251"/>
      <c r="F239" s="236"/>
      <c r="G239" s="251"/>
      <c r="H239" s="251"/>
      <c r="I239" s="240"/>
      <c r="J239" s="240"/>
      <c r="K239" s="239"/>
      <c r="L239" s="239"/>
      <c r="M239" s="199" t="s">
        <v>44</v>
      </c>
      <c r="N239" s="172">
        <v>0</v>
      </c>
      <c r="O239" s="172">
        <v>0</v>
      </c>
      <c r="P239" s="267"/>
      <c r="Q239" s="236"/>
      <c r="R239" s="203"/>
      <c r="S239" s="399"/>
    </row>
    <row r="240" spans="1:19" s="181" customFormat="1" ht="10.199999999999999" x14ac:dyDescent="0.2">
      <c r="A240" s="237"/>
      <c r="B240" s="251"/>
      <c r="C240" s="251"/>
      <c r="D240" s="251"/>
      <c r="E240" s="251"/>
      <c r="F240" s="236"/>
      <c r="G240" s="251"/>
      <c r="H240" s="251"/>
      <c r="I240" s="240"/>
      <c r="J240" s="240"/>
      <c r="K240" s="239"/>
      <c r="L240" s="239"/>
      <c r="M240" s="199" t="s">
        <v>45</v>
      </c>
      <c r="N240" s="172">
        <v>0</v>
      </c>
      <c r="O240" s="172">
        <v>0</v>
      </c>
      <c r="P240" s="267"/>
      <c r="Q240" s="236"/>
      <c r="R240" s="203"/>
      <c r="S240" s="399"/>
    </row>
    <row r="241" spans="1:19" s="181" customFormat="1" ht="10.199999999999999" x14ac:dyDescent="0.2">
      <c r="A241" s="237"/>
      <c r="B241" s="251"/>
      <c r="C241" s="251"/>
      <c r="D241" s="251"/>
      <c r="E241" s="251"/>
      <c r="F241" s="236"/>
      <c r="G241" s="251"/>
      <c r="H241" s="251"/>
      <c r="I241" s="240"/>
      <c r="J241" s="240"/>
      <c r="K241" s="239"/>
      <c r="L241" s="239"/>
      <c r="M241" s="199" t="s">
        <v>46</v>
      </c>
      <c r="N241" s="172">
        <v>0</v>
      </c>
      <c r="O241" s="172">
        <v>0</v>
      </c>
      <c r="P241" s="267"/>
      <c r="Q241" s="236"/>
      <c r="R241" s="203"/>
      <c r="S241" s="399"/>
    </row>
    <row r="242" spans="1:19" s="181" customFormat="1" ht="10.199999999999999" x14ac:dyDescent="0.2">
      <c r="A242" s="237"/>
      <c r="B242" s="251"/>
      <c r="C242" s="251"/>
      <c r="D242" s="251"/>
      <c r="E242" s="251"/>
      <c r="F242" s="236"/>
      <c r="G242" s="251"/>
      <c r="H242" s="251"/>
      <c r="I242" s="240"/>
      <c r="J242" s="240"/>
      <c r="K242" s="239"/>
      <c r="L242" s="239"/>
      <c r="M242" s="211" t="s">
        <v>1245</v>
      </c>
      <c r="N242" s="236" t="s">
        <v>1177</v>
      </c>
      <c r="O242" s="214"/>
      <c r="P242" s="267"/>
      <c r="Q242" s="236"/>
      <c r="R242" s="203"/>
      <c r="S242" s="399"/>
    </row>
    <row r="243" spans="1:19" s="181" customFormat="1" x14ac:dyDescent="0.2">
      <c r="A243" s="237">
        <f>A237+1</f>
        <v>40</v>
      </c>
      <c r="B243" s="243">
        <v>44774</v>
      </c>
      <c r="C243" s="243">
        <v>46599</v>
      </c>
      <c r="D243" s="236" t="s">
        <v>1228</v>
      </c>
      <c r="E243" s="236" t="s">
        <v>1128</v>
      </c>
      <c r="F243" s="236" t="s">
        <v>957</v>
      </c>
      <c r="G243" s="247" t="s">
        <v>998</v>
      </c>
      <c r="H243" s="247" t="s">
        <v>996</v>
      </c>
      <c r="I243" s="247" t="s">
        <v>865</v>
      </c>
      <c r="J243" s="248">
        <f>773.1+379.9+93.4</f>
        <v>1246.4000000000001</v>
      </c>
      <c r="K243" s="238">
        <f>S243*9</f>
        <v>726092.81280000019</v>
      </c>
      <c r="L243" s="238">
        <f>S243*3</f>
        <v>242030.93760000006</v>
      </c>
      <c r="M243" s="199" t="s">
        <v>42</v>
      </c>
      <c r="N243" s="236" t="s">
        <v>1142</v>
      </c>
      <c r="O243" s="242"/>
      <c r="P243" s="250" t="s">
        <v>998</v>
      </c>
      <c r="Q243" s="207"/>
      <c r="R243" s="203"/>
      <c r="S243" s="245">
        <f>14.5*J243*1.2*(1+1.2+0.9)*1.2</f>
        <v>80676.979200000016</v>
      </c>
    </row>
    <row r="244" spans="1:19" s="181" customFormat="1" ht="20.399999999999999" x14ac:dyDescent="0.2">
      <c r="A244" s="237"/>
      <c r="B244" s="240"/>
      <c r="C244" s="251"/>
      <c r="D244" s="251"/>
      <c r="E244" s="236"/>
      <c r="F244" s="236"/>
      <c r="G244" s="251"/>
      <c r="H244" s="251"/>
      <c r="I244" s="240"/>
      <c r="J244" s="240"/>
      <c r="K244" s="239"/>
      <c r="L244" s="239"/>
      <c r="M244" s="199" t="s">
        <v>43</v>
      </c>
      <c r="N244" s="242"/>
      <c r="O244" s="242"/>
      <c r="P244" s="267"/>
      <c r="Q244" s="207"/>
      <c r="R244" s="203"/>
      <c r="S244" s="399"/>
    </row>
    <row r="245" spans="1:19" s="181" customFormat="1" x14ac:dyDescent="0.2">
      <c r="A245" s="237"/>
      <c r="B245" s="240"/>
      <c r="C245" s="251"/>
      <c r="D245" s="251"/>
      <c r="E245" s="236"/>
      <c r="F245" s="236"/>
      <c r="G245" s="251"/>
      <c r="H245" s="251"/>
      <c r="I245" s="240"/>
      <c r="J245" s="240"/>
      <c r="K245" s="239"/>
      <c r="L245" s="239"/>
      <c r="M245" s="199" t="s">
        <v>44</v>
      </c>
      <c r="N245" s="242"/>
      <c r="O245" s="242"/>
      <c r="P245" s="267"/>
      <c r="Q245" s="207"/>
      <c r="R245" s="203"/>
      <c r="S245" s="399"/>
    </row>
    <row r="246" spans="1:19" s="181" customFormat="1" x14ac:dyDescent="0.2">
      <c r="A246" s="237"/>
      <c r="B246" s="240"/>
      <c r="C246" s="251"/>
      <c r="D246" s="251"/>
      <c r="E246" s="236"/>
      <c r="F246" s="236"/>
      <c r="G246" s="251"/>
      <c r="H246" s="251"/>
      <c r="I246" s="240"/>
      <c r="J246" s="240"/>
      <c r="K246" s="239"/>
      <c r="L246" s="239"/>
      <c r="M246" s="199" t="s">
        <v>45</v>
      </c>
      <c r="N246" s="242"/>
      <c r="O246" s="242"/>
      <c r="P246" s="267"/>
      <c r="Q246" s="207"/>
      <c r="R246" s="203"/>
      <c r="S246" s="399"/>
    </row>
    <row r="247" spans="1:19" s="181" customFormat="1" x14ac:dyDescent="0.2">
      <c r="A247" s="237"/>
      <c r="B247" s="240"/>
      <c r="C247" s="251"/>
      <c r="D247" s="251"/>
      <c r="E247" s="236"/>
      <c r="F247" s="236"/>
      <c r="G247" s="251"/>
      <c r="H247" s="251"/>
      <c r="I247" s="240"/>
      <c r="J247" s="240"/>
      <c r="K247" s="239"/>
      <c r="L247" s="239"/>
      <c r="M247" s="199" t="s">
        <v>46</v>
      </c>
      <c r="N247" s="242"/>
      <c r="O247" s="242"/>
      <c r="P247" s="267"/>
      <c r="Q247" s="207"/>
      <c r="R247" s="203"/>
      <c r="S247" s="399"/>
    </row>
    <row r="248" spans="1:19" s="181" customFormat="1" x14ac:dyDescent="0.2">
      <c r="A248" s="237"/>
      <c r="B248" s="240"/>
      <c r="C248" s="251"/>
      <c r="D248" s="251"/>
      <c r="E248" s="236"/>
      <c r="F248" s="236"/>
      <c r="G248" s="251"/>
      <c r="H248" s="251"/>
      <c r="I248" s="240"/>
      <c r="J248" s="240"/>
      <c r="K248" s="239"/>
      <c r="L248" s="239"/>
      <c r="M248" s="211" t="s">
        <v>1245</v>
      </c>
      <c r="N248" s="236" t="s">
        <v>1177</v>
      </c>
      <c r="O248" s="214"/>
      <c r="P248" s="267"/>
      <c r="Q248" s="207"/>
      <c r="R248" s="203"/>
      <c r="S248" s="399"/>
    </row>
    <row r="249" spans="1:19" s="181" customFormat="1" x14ac:dyDescent="0.2">
      <c r="A249" s="237">
        <f>A243+1</f>
        <v>41</v>
      </c>
      <c r="B249" s="259">
        <v>43170</v>
      </c>
      <c r="C249" s="259">
        <v>44995</v>
      </c>
      <c r="D249" s="236" t="s">
        <v>866</v>
      </c>
      <c r="E249" s="236" t="s">
        <v>1128</v>
      </c>
      <c r="F249" s="236" t="s">
        <v>957</v>
      </c>
      <c r="G249" s="236" t="s">
        <v>168</v>
      </c>
      <c r="H249" s="236" t="s">
        <v>997</v>
      </c>
      <c r="I249" s="236" t="s">
        <v>172</v>
      </c>
      <c r="J249" s="236">
        <v>80.400000000000006</v>
      </c>
      <c r="K249" s="238">
        <f>S249*9</f>
        <v>30217.536000000004</v>
      </c>
      <c r="L249" s="238">
        <f>S249*3</f>
        <v>10072.512000000001</v>
      </c>
      <c r="M249" s="199" t="s">
        <v>42</v>
      </c>
      <c r="N249" s="236" t="s">
        <v>1142</v>
      </c>
      <c r="O249" s="242"/>
      <c r="P249" s="241" t="s">
        <v>168</v>
      </c>
      <c r="Q249" s="207"/>
      <c r="R249" s="203"/>
      <c r="S249" s="245">
        <f>14.5*J249*1.2*(1+0.1+0.9)*1.2</f>
        <v>3357.5040000000004</v>
      </c>
    </row>
    <row r="250" spans="1:19" s="181" customFormat="1" ht="20.399999999999999" x14ac:dyDescent="0.2">
      <c r="A250" s="237"/>
      <c r="B250" s="240"/>
      <c r="C250" s="251"/>
      <c r="D250" s="251"/>
      <c r="E250" s="236"/>
      <c r="F250" s="236"/>
      <c r="G250" s="251"/>
      <c r="H250" s="251"/>
      <c r="I250" s="240"/>
      <c r="J250" s="240"/>
      <c r="K250" s="239"/>
      <c r="L250" s="239"/>
      <c r="M250" s="199" t="s">
        <v>43</v>
      </c>
      <c r="N250" s="242"/>
      <c r="O250" s="242"/>
      <c r="P250" s="267"/>
      <c r="Q250" s="207"/>
      <c r="R250" s="203"/>
      <c r="S250" s="399"/>
    </row>
    <row r="251" spans="1:19" s="181" customFormat="1" x14ac:dyDescent="0.2">
      <c r="A251" s="237"/>
      <c r="B251" s="240"/>
      <c r="C251" s="251"/>
      <c r="D251" s="251"/>
      <c r="E251" s="236"/>
      <c r="F251" s="236"/>
      <c r="G251" s="251"/>
      <c r="H251" s="251"/>
      <c r="I251" s="240"/>
      <c r="J251" s="240"/>
      <c r="K251" s="239"/>
      <c r="L251" s="239"/>
      <c r="M251" s="199" t="s">
        <v>44</v>
      </c>
      <c r="N251" s="242"/>
      <c r="O251" s="242"/>
      <c r="P251" s="267"/>
      <c r="Q251" s="207"/>
      <c r="R251" s="203"/>
      <c r="S251" s="399"/>
    </row>
    <row r="252" spans="1:19" s="181" customFormat="1" x14ac:dyDescent="0.2">
      <c r="A252" s="237"/>
      <c r="B252" s="240"/>
      <c r="C252" s="251"/>
      <c r="D252" s="251"/>
      <c r="E252" s="236"/>
      <c r="F252" s="236"/>
      <c r="G252" s="251"/>
      <c r="H252" s="251"/>
      <c r="I252" s="240"/>
      <c r="J252" s="240"/>
      <c r="K252" s="239"/>
      <c r="L252" s="239"/>
      <c r="M252" s="199" t="s">
        <v>45</v>
      </c>
      <c r="N252" s="242"/>
      <c r="O252" s="242"/>
      <c r="P252" s="267"/>
      <c r="Q252" s="207"/>
      <c r="R252" s="203"/>
      <c r="S252" s="399"/>
    </row>
    <row r="253" spans="1:19" s="181" customFormat="1" x14ac:dyDescent="0.2">
      <c r="A253" s="237"/>
      <c r="B253" s="240"/>
      <c r="C253" s="251"/>
      <c r="D253" s="251"/>
      <c r="E253" s="236"/>
      <c r="F253" s="236"/>
      <c r="G253" s="251"/>
      <c r="H253" s="251"/>
      <c r="I253" s="240"/>
      <c r="J253" s="240"/>
      <c r="K253" s="239"/>
      <c r="L253" s="239"/>
      <c r="M253" s="199" t="s">
        <v>46</v>
      </c>
      <c r="N253" s="242"/>
      <c r="O253" s="242"/>
      <c r="P253" s="267"/>
      <c r="Q253" s="207"/>
      <c r="R253" s="203"/>
      <c r="S253" s="399"/>
    </row>
    <row r="254" spans="1:19" s="181" customFormat="1" x14ac:dyDescent="0.2">
      <c r="A254" s="237"/>
      <c r="B254" s="240"/>
      <c r="C254" s="251"/>
      <c r="D254" s="251"/>
      <c r="E254" s="236"/>
      <c r="F254" s="236"/>
      <c r="G254" s="251"/>
      <c r="H254" s="251"/>
      <c r="I254" s="240"/>
      <c r="J254" s="240"/>
      <c r="K254" s="239"/>
      <c r="L254" s="239"/>
      <c r="M254" s="211" t="s">
        <v>1245</v>
      </c>
      <c r="N254" s="236" t="s">
        <v>1177</v>
      </c>
      <c r="O254" s="214"/>
      <c r="P254" s="267"/>
      <c r="Q254" s="207"/>
      <c r="R254" s="203"/>
      <c r="S254" s="399"/>
    </row>
    <row r="255" spans="1:19" s="181" customFormat="1" ht="10.199999999999999" x14ac:dyDescent="0.2">
      <c r="A255" s="237">
        <f>A249+1</f>
        <v>42</v>
      </c>
      <c r="B255" s="259">
        <v>44034</v>
      </c>
      <c r="C255" s="259">
        <v>45082</v>
      </c>
      <c r="D255" s="236" t="s">
        <v>870</v>
      </c>
      <c r="E255" s="236" t="s">
        <v>1128</v>
      </c>
      <c r="F255" s="236" t="s">
        <v>957</v>
      </c>
      <c r="G255" s="236" t="s">
        <v>872</v>
      </c>
      <c r="H255" s="236" t="s">
        <v>999</v>
      </c>
      <c r="I255" s="236" t="s">
        <v>875</v>
      </c>
      <c r="J255" s="236">
        <v>891.64</v>
      </c>
      <c r="K255" s="238">
        <f>S255*9</f>
        <v>519426.66528000002</v>
      </c>
      <c r="L255" s="238">
        <f>S255*3</f>
        <v>173142.22176000001</v>
      </c>
      <c r="M255" s="199" t="s">
        <v>42</v>
      </c>
      <c r="N255" s="172">
        <v>22549.17</v>
      </c>
      <c r="O255" s="172">
        <v>10340.17</v>
      </c>
      <c r="P255" s="241" t="s">
        <v>1161</v>
      </c>
      <c r="Q255" s="236" t="s">
        <v>1202</v>
      </c>
      <c r="R255" s="203"/>
      <c r="S255" s="245">
        <f>14.5*J255*1.2*(1+1.2+0.9)*1.2</f>
        <v>57714.073920000003</v>
      </c>
    </row>
    <row r="256" spans="1:19" s="181" customFormat="1" ht="20.399999999999999" x14ac:dyDescent="0.2">
      <c r="A256" s="237"/>
      <c r="B256" s="240"/>
      <c r="C256" s="251"/>
      <c r="D256" s="251"/>
      <c r="E256" s="236"/>
      <c r="F256" s="236"/>
      <c r="G256" s="251"/>
      <c r="H256" s="251"/>
      <c r="I256" s="240"/>
      <c r="J256" s="240"/>
      <c r="K256" s="239"/>
      <c r="L256" s="239"/>
      <c r="M256" s="199" t="s">
        <v>43</v>
      </c>
      <c r="N256" s="172">
        <v>2693.23</v>
      </c>
      <c r="O256" s="172">
        <v>1577.5</v>
      </c>
      <c r="P256" s="267"/>
      <c r="Q256" s="236"/>
      <c r="R256" s="203"/>
      <c r="S256" s="399"/>
    </row>
    <row r="257" spans="1:19" s="181" customFormat="1" ht="10.199999999999999" x14ac:dyDescent="0.2">
      <c r="A257" s="237"/>
      <c r="B257" s="240"/>
      <c r="C257" s="251"/>
      <c r="D257" s="251"/>
      <c r="E257" s="236"/>
      <c r="F257" s="236"/>
      <c r="G257" s="251"/>
      <c r="H257" s="251"/>
      <c r="I257" s="240"/>
      <c r="J257" s="240"/>
      <c r="K257" s="239"/>
      <c r="L257" s="239"/>
      <c r="M257" s="199" t="s">
        <v>44</v>
      </c>
      <c r="N257" s="172">
        <v>0</v>
      </c>
      <c r="O257" s="172">
        <v>0</v>
      </c>
      <c r="P257" s="267"/>
      <c r="Q257" s="236"/>
      <c r="R257" s="203"/>
      <c r="S257" s="399"/>
    </row>
    <row r="258" spans="1:19" s="181" customFormat="1" ht="10.199999999999999" x14ac:dyDescent="0.2">
      <c r="A258" s="237"/>
      <c r="B258" s="240"/>
      <c r="C258" s="251"/>
      <c r="D258" s="251"/>
      <c r="E258" s="236"/>
      <c r="F258" s="236"/>
      <c r="G258" s="251"/>
      <c r="H258" s="251"/>
      <c r="I258" s="240"/>
      <c r="J258" s="240"/>
      <c r="K258" s="239"/>
      <c r="L258" s="239"/>
      <c r="M258" s="199" t="s">
        <v>45</v>
      </c>
      <c r="N258" s="172">
        <v>33329.279999999999</v>
      </c>
      <c r="O258" s="172">
        <v>0</v>
      </c>
      <c r="P258" s="267"/>
      <c r="Q258" s="236"/>
      <c r="R258" s="203"/>
      <c r="S258" s="399"/>
    </row>
    <row r="259" spans="1:19" s="181" customFormat="1" ht="10.199999999999999" x14ac:dyDescent="0.2">
      <c r="A259" s="237"/>
      <c r="B259" s="240"/>
      <c r="C259" s="251"/>
      <c r="D259" s="251"/>
      <c r="E259" s="236"/>
      <c r="F259" s="236"/>
      <c r="G259" s="251"/>
      <c r="H259" s="251"/>
      <c r="I259" s="240"/>
      <c r="J259" s="240"/>
      <c r="K259" s="239"/>
      <c r="L259" s="239"/>
      <c r="M259" s="199" t="s">
        <v>46</v>
      </c>
      <c r="N259" s="172">
        <v>614.38</v>
      </c>
      <c r="O259" s="172">
        <v>614.38</v>
      </c>
      <c r="P259" s="267"/>
      <c r="Q259" s="236"/>
      <c r="R259" s="203"/>
      <c r="S259" s="399"/>
    </row>
    <row r="260" spans="1:19" s="181" customFormat="1" ht="10.199999999999999" x14ac:dyDescent="0.2">
      <c r="A260" s="237"/>
      <c r="B260" s="240"/>
      <c r="C260" s="251"/>
      <c r="D260" s="251"/>
      <c r="E260" s="236"/>
      <c r="F260" s="236"/>
      <c r="G260" s="251"/>
      <c r="H260" s="251"/>
      <c r="I260" s="240"/>
      <c r="J260" s="240"/>
      <c r="K260" s="239"/>
      <c r="L260" s="239"/>
      <c r="M260" s="211" t="s">
        <v>1245</v>
      </c>
      <c r="N260" s="236" t="s">
        <v>1177</v>
      </c>
      <c r="O260" s="214"/>
      <c r="P260" s="267"/>
      <c r="Q260" s="236"/>
      <c r="R260" s="203"/>
      <c r="S260" s="399"/>
    </row>
    <row r="261" spans="1:19" s="181" customFormat="1" ht="10.199999999999999" x14ac:dyDescent="0.2">
      <c r="A261" s="237">
        <f>A255+1</f>
        <v>43</v>
      </c>
      <c r="B261" s="259">
        <v>43984</v>
      </c>
      <c r="C261" s="259">
        <v>45078</v>
      </c>
      <c r="D261" s="236" t="s">
        <v>876</v>
      </c>
      <c r="E261" s="236" t="s">
        <v>1128</v>
      </c>
      <c r="F261" s="236" t="s">
        <v>957</v>
      </c>
      <c r="G261" s="236" t="s">
        <v>877</v>
      </c>
      <c r="H261" s="236" t="s">
        <v>1211</v>
      </c>
      <c r="I261" s="236" t="s">
        <v>859</v>
      </c>
      <c r="J261" s="236">
        <v>53.5</v>
      </c>
      <c r="K261" s="238">
        <f>S261*9</f>
        <v>31166.531999999999</v>
      </c>
      <c r="L261" s="238">
        <f>S261*3</f>
        <v>10388.843999999999</v>
      </c>
      <c r="M261" s="277" t="s">
        <v>42</v>
      </c>
      <c r="N261" s="415">
        <v>1938.79</v>
      </c>
      <c r="O261" s="415">
        <v>343.86</v>
      </c>
      <c r="P261" s="250" t="s">
        <v>1194</v>
      </c>
      <c r="Q261" s="251"/>
      <c r="R261" s="203"/>
      <c r="S261" s="245">
        <f>14.5*J261*1.2*(1+1.2+0.9)*1.2</f>
        <v>3462.9479999999999</v>
      </c>
    </row>
    <row r="262" spans="1:19" s="181" customFormat="1" ht="10.199999999999999" x14ac:dyDescent="0.2">
      <c r="A262" s="237"/>
      <c r="B262" s="240"/>
      <c r="C262" s="251"/>
      <c r="D262" s="251"/>
      <c r="E262" s="236"/>
      <c r="F262" s="236"/>
      <c r="G262" s="251"/>
      <c r="H262" s="251"/>
      <c r="I262" s="240"/>
      <c r="J262" s="240"/>
      <c r="K262" s="239"/>
      <c r="L262" s="239"/>
      <c r="M262" s="416"/>
      <c r="N262" s="417"/>
      <c r="O262" s="417"/>
      <c r="P262" s="412"/>
      <c r="Q262" s="251"/>
      <c r="R262" s="203"/>
      <c r="S262" s="399"/>
    </row>
    <row r="263" spans="1:19" s="181" customFormat="1" ht="10.199999999999999" x14ac:dyDescent="0.2">
      <c r="A263" s="237"/>
      <c r="B263" s="240"/>
      <c r="C263" s="251"/>
      <c r="D263" s="251"/>
      <c r="E263" s="236"/>
      <c r="F263" s="236"/>
      <c r="G263" s="251"/>
      <c r="H263" s="251"/>
      <c r="I263" s="240"/>
      <c r="J263" s="240"/>
      <c r="K263" s="239"/>
      <c r="L263" s="239"/>
      <c r="M263" s="277" t="s">
        <v>43</v>
      </c>
      <c r="N263" s="415">
        <v>124.3</v>
      </c>
      <c r="O263" s="415">
        <v>124.3</v>
      </c>
      <c r="P263" s="412"/>
      <c r="Q263" s="251"/>
      <c r="R263" s="203"/>
      <c r="S263" s="399"/>
    </row>
    <row r="264" spans="1:19" s="181" customFormat="1" ht="10.199999999999999" x14ac:dyDescent="0.2">
      <c r="A264" s="237"/>
      <c r="B264" s="240"/>
      <c r="C264" s="251"/>
      <c r="D264" s="251"/>
      <c r="E264" s="236"/>
      <c r="F264" s="236"/>
      <c r="G264" s="251"/>
      <c r="H264" s="251"/>
      <c r="I264" s="240"/>
      <c r="J264" s="240"/>
      <c r="K264" s="239"/>
      <c r="L264" s="239"/>
      <c r="M264" s="416"/>
      <c r="N264" s="417"/>
      <c r="O264" s="417"/>
      <c r="P264" s="412"/>
      <c r="Q264" s="251"/>
      <c r="R264" s="203"/>
      <c r="S264" s="399"/>
    </row>
    <row r="265" spans="1:19" s="181" customFormat="1" ht="10.199999999999999" x14ac:dyDescent="0.2">
      <c r="A265" s="237"/>
      <c r="B265" s="240"/>
      <c r="C265" s="251"/>
      <c r="D265" s="251"/>
      <c r="E265" s="236"/>
      <c r="F265" s="236"/>
      <c r="G265" s="251"/>
      <c r="H265" s="251"/>
      <c r="I265" s="240"/>
      <c r="J265" s="240"/>
      <c r="K265" s="239"/>
      <c r="L265" s="239"/>
      <c r="M265" s="277" t="s">
        <v>45</v>
      </c>
      <c r="N265" s="415">
        <v>9313.0499999999993</v>
      </c>
      <c r="O265" s="415">
        <v>0</v>
      </c>
      <c r="P265" s="412"/>
      <c r="Q265" s="251"/>
      <c r="R265" s="203"/>
      <c r="S265" s="399"/>
    </row>
    <row r="266" spans="1:19" s="181" customFormat="1" ht="10.199999999999999" x14ac:dyDescent="0.2">
      <c r="A266" s="237">
        <f>A261+1</f>
        <v>44</v>
      </c>
      <c r="B266" s="259">
        <v>44448</v>
      </c>
      <c r="C266" s="259">
        <v>45543</v>
      </c>
      <c r="D266" s="236" t="s">
        <v>880</v>
      </c>
      <c r="E266" s="236" t="s">
        <v>1128</v>
      </c>
      <c r="F266" s="236" t="s">
        <v>957</v>
      </c>
      <c r="G266" s="236" t="s">
        <v>877</v>
      </c>
      <c r="H266" s="236" t="s">
        <v>1001</v>
      </c>
      <c r="I266" s="236" t="s">
        <v>859</v>
      </c>
      <c r="J266" s="241">
        <v>73</v>
      </c>
      <c r="K266" s="238">
        <f>S266*9</f>
        <v>42526.296000000002</v>
      </c>
      <c r="L266" s="238">
        <f>S266*3</f>
        <v>14175.432000000001</v>
      </c>
      <c r="M266" s="416"/>
      <c r="N266" s="417"/>
      <c r="O266" s="417"/>
      <c r="P266" s="262"/>
      <c r="Q266" s="251"/>
      <c r="R266" s="203"/>
      <c r="S266" s="245">
        <f>14.5*J266*1.2*(1+1.2+0.9)*1.2</f>
        <v>4725.1440000000002</v>
      </c>
    </row>
    <row r="267" spans="1:19" s="181" customFormat="1" ht="10.199999999999999" x14ac:dyDescent="0.2">
      <c r="A267" s="237"/>
      <c r="B267" s="240"/>
      <c r="C267" s="251"/>
      <c r="D267" s="251"/>
      <c r="E267" s="236"/>
      <c r="F267" s="236"/>
      <c r="G267" s="251"/>
      <c r="H267" s="251"/>
      <c r="I267" s="240"/>
      <c r="J267" s="240"/>
      <c r="K267" s="239"/>
      <c r="L267" s="239"/>
      <c r="M267" s="277" t="s">
        <v>44</v>
      </c>
      <c r="N267" s="415">
        <v>0</v>
      </c>
      <c r="O267" s="415">
        <v>0</v>
      </c>
      <c r="P267" s="262"/>
      <c r="Q267" s="251"/>
      <c r="R267" s="203"/>
      <c r="S267" s="399"/>
    </row>
    <row r="268" spans="1:19" s="181" customFormat="1" ht="10.199999999999999" x14ac:dyDescent="0.2">
      <c r="A268" s="237"/>
      <c r="B268" s="240"/>
      <c r="C268" s="251"/>
      <c r="D268" s="251"/>
      <c r="E268" s="236"/>
      <c r="F268" s="236"/>
      <c r="G268" s="251"/>
      <c r="H268" s="251"/>
      <c r="I268" s="240"/>
      <c r="J268" s="240"/>
      <c r="K268" s="239"/>
      <c r="L268" s="239"/>
      <c r="M268" s="416"/>
      <c r="N268" s="417"/>
      <c r="O268" s="417"/>
      <c r="P268" s="262"/>
      <c r="Q268" s="251"/>
      <c r="R268" s="203"/>
      <c r="S268" s="399"/>
    </row>
    <row r="269" spans="1:19" s="181" customFormat="1" ht="10.199999999999999" x14ac:dyDescent="0.2">
      <c r="A269" s="237"/>
      <c r="B269" s="240"/>
      <c r="C269" s="251"/>
      <c r="D269" s="251"/>
      <c r="E269" s="236"/>
      <c r="F269" s="236"/>
      <c r="G269" s="251"/>
      <c r="H269" s="251"/>
      <c r="I269" s="240"/>
      <c r="J269" s="240"/>
      <c r="K269" s="239"/>
      <c r="L269" s="239"/>
      <c r="M269" s="277" t="s">
        <v>46</v>
      </c>
      <c r="N269" s="415">
        <v>52.03</v>
      </c>
      <c r="O269" s="415">
        <v>52.03</v>
      </c>
      <c r="P269" s="262"/>
      <c r="Q269" s="251"/>
      <c r="R269" s="203"/>
      <c r="S269" s="399"/>
    </row>
    <row r="270" spans="1:19" s="181" customFormat="1" ht="10.199999999999999" x14ac:dyDescent="0.2">
      <c r="A270" s="237"/>
      <c r="B270" s="240"/>
      <c r="C270" s="251"/>
      <c r="D270" s="251"/>
      <c r="E270" s="236"/>
      <c r="F270" s="236"/>
      <c r="G270" s="251"/>
      <c r="H270" s="251"/>
      <c r="I270" s="240"/>
      <c r="J270" s="240"/>
      <c r="K270" s="239"/>
      <c r="L270" s="239"/>
      <c r="M270" s="269"/>
      <c r="N270" s="417"/>
      <c r="O270" s="417"/>
      <c r="P270" s="262"/>
      <c r="Q270" s="251"/>
      <c r="R270" s="203"/>
      <c r="S270" s="399"/>
    </row>
    <row r="271" spans="1:19" s="181" customFormat="1" ht="10.199999999999999" x14ac:dyDescent="0.2">
      <c r="A271" s="237"/>
      <c r="B271" s="240"/>
      <c r="C271" s="251"/>
      <c r="D271" s="251"/>
      <c r="E271" s="236"/>
      <c r="F271" s="236"/>
      <c r="G271" s="251"/>
      <c r="H271" s="251"/>
      <c r="I271" s="240"/>
      <c r="J271" s="240"/>
      <c r="K271" s="239"/>
      <c r="L271" s="239"/>
      <c r="M271" s="268" t="s">
        <v>1245</v>
      </c>
      <c r="N271" s="238" t="s">
        <v>1177</v>
      </c>
      <c r="O271" s="284"/>
      <c r="P271" s="262"/>
      <c r="Q271" s="251"/>
      <c r="R271" s="203"/>
      <c r="S271" s="399"/>
    </row>
    <row r="272" spans="1:19" s="181" customFormat="1" ht="10.199999999999999" x14ac:dyDescent="0.2">
      <c r="A272" s="237"/>
      <c r="B272" s="240"/>
      <c r="C272" s="251"/>
      <c r="D272" s="251"/>
      <c r="E272" s="236"/>
      <c r="F272" s="236"/>
      <c r="G272" s="251"/>
      <c r="H272" s="251"/>
      <c r="I272" s="240"/>
      <c r="J272" s="240"/>
      <c r="K272" s="239"/>
      <c r="L272" s="239"/>
      <c r="M272" s="269"/>
      <c r="N272" s="239"/>
      <c r="O272" s="284"/>
      <c r="P272" s="262"/>
      <c r="Q272" s="251"/>
      <c r="R272" s="203"/>
      <c r="S272" s="399"/>
    </row>
    <row r="273" spans="1:19" s="181" customFormat="1" ht="10.199999999999999" x14ac:dyDescent="0.2">
      <c r="A273" s="237">
        <f>A266+1</f>
        <v>45</v>
      </c>
      <c r="B273" s="243">
        <v>43188</v>
      </c>
      <c r="C273" s="243">
        <v>45013</v>
      </c>
      <c r="D273" s="236" t="s">
        <v>898</v>
      </c>
      <c r="E273" s="236" t="s">
        <v>1128</v>
      </c>
      <c r="F273" s="236" t="s">
        <v>957</v>
      </c>
      <c r="G273" s="236" t="s">
        <v>305</v>
      </c>
      <c r="H273" s="236" t="s">
        <v>1002</v>
      </c>
      <c r="I273" s="236" t="s">
        <v>901</v>
      </c>
      <c r="J273" s="236">
        <v>14.9</v>
      </c>
      <c r="K273" s="238">
        <f>S273*9</f>
        <v>8680.0247999999992</v>
      </c>
      <c r="L273" s="238">
        <f>S273*3</f>
        <v>2893.3415999999997</v>
      </c>
      <c r="M273" s="199" t="s">
        <v>42</v>
      </c>
      <c r="N273" s="172">
        <v>1033.18</v>
      </c>
      <c r="O273" s="172">
        <v>245.16</v>
      </c>
      <c r="P273" s="241" t="s">
        <v>305</v>
      </c>
      <c r="Q273" s="251"/>
      <c r="R273" s="203"/>
      <c r="S273" s="245">
        <f>(14.5*J273*1.2*(1+1.2+0.9)*1.2)</f>
        <v>964.44719999999995</v>
      </c>
    </row>
    <row r="274" spans="1:19" s="181" customFormat="1" ht="20.399999999999999" x14ac:dyDescent="0.2">
      <c r="A274" s="237"/>
      <c r="B274" s="240"/>
      <c r="C274" s="251"/>
      <c r="D274" s="251"/>
      <c r="E274" s="236"/>
      <c r="F274" s="236"/>
      <c r="G274" s="251"/>
      <c r="H274" s="251"/>
      <c r="I274" s="271"/>
      <c r="J274" s="240"/>
      <c r="K274" s="239"/>
      <c r="L274" s="239"/>
      <c r="M274" s="199" t="s">
        <v>43</v>
      </c>
      <c r="N274" s="172">
        <v>156.19</v>
      </c>
      <c r="O274" s="172">
        <v>37.14</v>
      </c>
      <c r="P274" s="267"/>
      <c r="Q274" s="251"/>
      <c r="R274" s="203"/>
      <c r="S274" s="399"/>
    </row>
    <row r="275" spans="1:19" s="181" customFormat="1" ht="10.199999999999999" x14ac:dyDescent="0.2">
      <c r="A275" s="237"/>
      <c r="B275" s="240"/>
      <c r="C275" s="251"/>
      <c r="D275" s="251"/>
      <c r="E275" s="236"/>
      <c r="F275" s="236"/>
      <c r="G275" s="251"/>
      <c r="H275" s="251"/>
      <c r="I275" s="271"/>
      <c r="J275" s="240"/>
      <c r="K275" s="239"/>
      <c r="L275" s="239"/>
      <c r="M275" s="199" t="s">
        <v>44</v>
      </c>
      <c r="N275" s="172">
        <v>0</v>
      </c>
      <c r="O275" s="172">
        <v>0</v>
      </c>
      <c r="P275" s="267"/>
      <c r="Q275" s="251"/>
      <c r="R275" s="203"/>
      <c r="S275" s="399"/>
    </row>
    <row r="276" spans="1:19" s="181" customFormat="1" ht="10.199999999999999" x14ac:dyDescent="0.2">
      <c r="A276" s="237"/>
      <c r="B276" s="240"/>
      <c r="C276" s="251"/>
      <c r="D276" s="251"/>
      <c r="E276" s="236"/>
      <c r="F276" s="236"/>
      <c r="G276" s="251"/>
      <c r="H276" s="251"/>
      <c r="I276" s="271"/>
      <c r="J276" s="240"/>
      <c r="K276" s="239"/>
      <c r="L276" s="239"/>
      <c r="M276" s="199" t="s">
        <v>45</v>
      </c>
      <c r="N276" s="172">
        <v>648.72</v>
      </c>
      <c r="O276" s="172">
        <v>0</v>
      </c>
      <c r="P276" s="267"/>
      <c r="Q276" s="251"/>
      <c r="R276" s="203"/>
      <c r="S276" s="399"/>
    </row>
    <row r="277" spans="1:19" s="181" customFormat="1" ht="10.199999999999999" x14ac:dyDescent="0.2">
      <c r="A277" s="237"/>
      <c r="B277" s="240"/>
      <c r="C277" s="251"/>
      <c r="D277" s="251"/>
      <c r="E277" s="236"/>
      <c r="F277" s="236"/>
      <c r="G277" s="251"/>
      <c r="H277" s="251"/>
      <c r="I277" s="271"/>
      <c r="J277" s="240"/>
      <c r="K277" s="239"/>
      <c r="L277" s="239"/>
      <c r="M277" s="199" t="s">
        <v>46</v>
      </c>
      <c r="N277" s="172">
        <v>19.11</v>
      </c>
      <c r="O277" s="172">
        <v>19.11</v>
      </c>
      <c r="P277" s="267"/>
      <c r="Q277" s="251"/>
      <c r="R277" s="203"/>
      <c r="S277" s="399"/>
    </row>
    <row r="278" spans="1:19" s="181" customFormat="1" ht="10.199999999999999" x14ac:dyDescent="0.2">
      <c r="A278" s="237"/>
      <c r="B278" s="240"/>
      <c r="C278" s="251"/>
      <c r="D278" s="251"/>
      <c r="E278" s="236"/>
      <c r="F278" s="236"/>
      <c r="G278" s="251"/>
      <c r="H278" s="251"/>
      <c r="I278" s="271"/>
      <c r="J278" s="240"/>
      <c r="K278" s="239"/>
      <c r="L278" s="239"/>
      <c r="M278" s="211" t="s">
        <v>1245</v>
      </c>
      <c r="N278" s="236" t="s">
        <v>1177</v>
      </c>
      <c r="O278" s="214"/>
      <c r="P278" s="267"/>
      <c r="Q278" s="251"/>
      <c r="R278" s="203"/>
      <c r="S278" s="399"/>
    </row>
    <row r="279" spans="1:19" s="181" customFormat="1" ht="10.199999999999999" x14ac:dyDescent="0.2">
      <c r="A279" s="237">
        <f>A273+1</f>
        <v>46</v>
      </c>
      <c r="B279" s="243">
        <v>43311</v>
      </c>
      <c r="C279" s="243">
        <v>45136</v>
      </c>
      <c r="D279" s="236" t="s">
        <v>902</v>
      </c>
      <c r="E279" s="236" t="s">
        <v>1128</v>
      </c>
      <c r="F279" s="236" t="s">
        <v>957</v>
      </c>
      <c r="G279" s="247" t="s">
        <v>820</v>
      </c>
      <c r="H279" s="247" t="s">
        <v>1189</v>
      </c>
      <c r="I279" s="236" t="s">
        <v>530</v>
      </c>
      <c r="J279" s="248">
        <v>31.2</v>
      </c>
      <c r="K279" s="238">
        <f>S279*9</f>
        <v>7915.1903999999995</v>
      </c>
      <c r="L279" s="238">
        <f>S279*3</f>
        <v>2638.3968</v>
      </c>
      <c r="M279" s="199" t="s">
        <v>42</v>
      </c>
      <c r="N279" s="172">
        <v>1.4</v>
      </c>
      <c r="O279" s="172">
        <v>0</v>
      </c>
      <c r="P279" s="250" t="s">
        <v>820</v>
      </c>
      <c r="Q279" s="251"/>
      <c r="R279" s="203"/>
      <c r="S279" s="245">
        <f>(14.5*31.2*1.2*(1+1.2+0.5)*0.6)</f>
        <v>879.46559999999999</v>
      </c>
    </row>
    <row r="280" spans="1:19" s="181" customFormat="1" ht="20.399999999999999" x14ac:dyDescent="0.2">
      <c r="A280" s="237"/>
      <c r="B280" s="251"/>
      <c r="C280" s="251"/>
      <c r="D280" s="251"/>
      <c r="E280" s="236"/>
      <c r="F280" s="236"/>
      <c r="G280" s="251"/>
      <c r="H280" s="251"/>
      <c r="I280" s="240"/>
      <c r="J280" s="240"/>
      <c r="K280" s="239"/>
      <c r="L280" s="239"/>
      <c r="M280" s="199" t="s">
        <v>43</v>
      </c>
      <c r="N280" s="172">
        <v>0</v>
      </c>
      <c r="O280" s="172">
        <v>0</v>
      </c>
      <c r="P280" s="267"/>
      <c r="Q280" s="251"/>
      <c r="R280" s="203"/>
      <c r="S280" s="399"/>
    </row>
    <row r="281" spans="1:19" s="181" customFormat="1" ht="10.199999999999999" x14ac:dyDescent="0.2">
      <c r="A281" s="237"/>
      <c r="B281" s="251"/>
      <c r="C281" s="251"/>
      <c r="D281" s="251"/>
      <c r="E281" s="236"/>
      <c r="F281" s="236"/>
      <c r="G281" s="251"/>
      <c r="H281" s="251"/>
      <c r="I281" s="240"/>
      <c r="J281" s="240"/>
      <c r="K281" s="239"/>
      <c r="L281" s="239"/>
      <c r="M281" s="199" t="s">
        <v>44</v>
      </c>
      <c r="N281" s="172">
        <v>0</v>
      </c>
      <c r="O281" s="172">
        <v>0</v>
      </c>
      <c r="P281" s="267"/>
      <c r="Q281" s="251"/>
      <c r="R281" s="203"/>
      <c r="S281" s="399"/>
    </row>
    <row r="282" spans="1:19" s="181" customFormat="1" ht="10.199999999999999" x14ac:dyDescent="0.2">
      <c r="A282" s="237"/>
      <c r="B282" s="251"/>
      <c r="C282" s="251"/>
      <c r="D282" s="251"/>
      <c r="E282" s="236"/>
      <c r="F282" s="236"/>
      <c r="G282" s="251"/>
      <c r="H282" s="251"/>
      <c r="I282" s="240"/>
      <c r="J282" s="240"/>
      <c r="K282" s="239"/>
      <c r="L282" s="239"/>
      <c r="M282" s="199" t="s">
        <v>45</v>
      </c>
      <c r="N282" s="172">
        <v>635.07000000000005</v>
      </c>
      <c r="O282" s="172">
        <v>0</v>
      </c>
      <c r="P282" s="267"/>
      <c r="Q282" s="251"/>
      <c r="R282" s="203"/>
      <c r="S282" s="399"/>
    </row>
    <row r="283" spans="1:19" s="181" customFormat="1" ht="10.199999999999999" x14ac:dyDescent="0.2">
      <c r="A283" s="237"/>
      <c r="B283" s="251"/>
      <c r="C283" s="251"/>
      <c r="D283" s="251"/>
      <c r="E283" s="236"/>
      <c r="F283" s="236"/>
      <c r="G283" s="251"/>
      <c r="H283" s="251"/>
      <c r="I283" s="240"/>
      <c r="J283" s="240"/>
      <c r="K283" s="239"/>
      <c r="L283" s="239"/>
      <c r="M283" s="199" t="s">
        <v>46</v>
      </c>
      <c r="N283" s="172">
        <v>0</v>
      </c>
      <c r="O283" s="172">
        <v>0</v>
      </c>
      <c r="P283" s="267"/>
      <c r="Q283" s="251"/>
      <c r="R283" s="203"/>
      <c r="S283" s="399"/>
    </row>
    <row r="284" spans="1:19" s="181" customFormat="1" ht="10.199999999999999" x14ac:dyDescent="0.2">
      <c r="A284" s="237"/>
      <c r="B284" s="251"/>
      <c r="C284" s="251"/>
      <c r="D284" s="251"/>
      <c r="E284" s="236"/>
      <c r="F284" s="236"/>
      <c r="G284" s="251"/>
      <c r="H284" s="251"/>
      <c r="I284" s="240"/>
      <c r="J284" s="240"/>
      <c r="K284" s="239"/>
      <c r="L284" s="239"/>
      <c r="M284" s="211" t="s">
        <v>1245</v>
      </c>
      <c r="N284" s="236" t="s">
        <v>1177</v>
      </c>
      <c r="O284" s="214"/>
      <c r="P284" s="267"/>
      <c r="Q284" s="251"/>
      <c r="R284" s="203"/>
      <c r="S284" s="399"/>
    </row>
    <row r="285" spans="1:19" s="181" customFormat="1" ht="10.199999999999999" x14ac:dyDescent="0.2">
      <c r="A285" s="237">
        <f>A279+1</f>
        <v>47</v>
      </c>
      <c r="B285" s="259">
        <v>44186</v>
      </c>
      <c r="C285" s="259">
        <v>44952</v>
      </c>
      <c r="D285" s="236" t="s">
        <v>939</v>
      </c>
      <c r="E285" s="236" t="s">
        <v>1128</v>
      </c>
      <c r="F285" s="236" t="s">
        <v>957</v>
      </c>
      <c r="G285" s="236" t="s">
        <v>941</v>
      </c>
      <c r="H285" s="236" t="s">
        <v>1004</v>
      </c>
      <c r="I285" s="236" t="s">
        <v>944</v>
      </c>
      <c r="J285" s="236">
        <v>27.3</v>
      </c>
      <c r="K285" s="238">
        <f>S285*9</f>
        <v>5130.2160000000003</v>
      </c>
      <c r="L285" s="238">
        <f>S285*3</f>
        <v>1710.0720000000001</v>
      </c>
      <c r="M285" s="199" t="s">
        <v>42</v>
      </c>
      <c r="N285" s="172">
        <v>0</v>
      </c>
      <c r="O285" s="172">
        <v>0</v>
      </c>
      <c r="P285" s="241" t="s">
        <v>941</v>
      </c>
      <c r="Q285" s="251"/>
      <c r="R285" s="203"/>
      <c r="S285" s="245">
        <f>14.5*J285*1.2*(1+0.1+0.9)*0.6</f>
        <v>570.024</v>
      </c>
    </row>
    <row r="286" spans="1:19" s="181" customFormat="1" ht="20.399999999999999" x14ac:dyDescent="0.2">
      <c r="A286" s="237"/>
      <c r="B286" s="251"/>
      <c r="C286" s="251"/>
      <c r="D286" s="251"/>
      <c r="E286" s="236"/>
      <c r="F286" s="236"/>
      <c r="G286" s="251"/>
      <c r="H286" s="251"/>
      <c r="I286" s="240"/>
      <c r="J286" s="240"/>
      <c r="K286" s="239"/>
      <c r="L286" s="239"/>
      <c r="M286" s="199" t="s">
        <v>43</v>
      </c>
      <c r="N286" s="172">
        <v>0</v>
      </c>
      <c r="O286" s="172">
        <v>0</v>
      </c>
      <c r="P286" s="267"/>
      <c r="Q286" s="251"/>
      <c r="R286" s="203"/>
      <c r="S286" s="399"/>
    </row>
    <row r="287" spans="1:19" s="181" customFormat="1" ht="10.199999999999999" x14ac:dyDescent="0.2">
      <c r="A287" s="237"/>
      <c r="B287" s="251"/>
      <c r="C287" s="251"/>
      <c r="D287" s="251"/>
      <c r="E287" s="236"/>
      <c r="F287" s="236"/>
      <c r="G287" s="251"/>
      <c r="H287" s="251"/>
      <c r="I287" s="240"/>
      <c r="J287" s="240"/>
      <c r="K287" s="239"/>
      <c r="L287" s="239"/>
      <c r="M287" s="199" t="s">
        <v>44</v>
      </c>
      <c r="N287" s="172">
        <v>0</v>
      </c>
      <c r="O287" s="172">
        <v>0</v>
      </c>
      <c r="P287" s="267"/>
      <c r="Q287" s="251"/>
      <c r="R287" s="203"/>
      <c r="S287" s="399"/>
    </row>
    <row r="288" spans="1:19" s="181" customFormat="1" ht="10.199999999999999" x14ac:dyDescent="0.2">
      <c r="A288" s="237"/>
      <c r="B288" s="251"/>
      <c r="C288" s="251"/>
      <c r="D288" s="251"/>
      <c r="E288" s="236"/>
      <c r="F288" s="236"/>
      <c r="G288" s="251"/>
      <c r="H288" s="251"/>
      <c r="I288" s="240"/>
      <c r="J288" s="240"/>
      <c r="K288" s="239"/>
      <c r="L288" s="239"/>
      <c r="M288" s="199" t="s">
        <v>45</v>
      </c>
      <c r="N288" s="172">
        <v>0</v>
      </c>
      <c r="O288" s="172">
        <v>0</v>
      </c>
      <c r="P288" s="267"/>
      <c r="Q288" s="251"/>
      <c r="R288" s="203"/>
      <c r="S288" s="399"/>
    </row>
    <row r="289" spans="1:19" s="181" customFormat="1" ht="10.199999999999999" x14ac:dyDescent="0.2">
      <c r="A289" s="237"/>
      <c r="B289" s="251"/>
      <c r="C289" s="251"/>
      <c r="D289" s="251"/>
      <c r="E289" s="236"/>
      <c r="F289" s="236"/>
      <c r="G289" s="251"/>
      <c r="H289" s="251"/>
      <c r="I289" s="240"/>
      <c r="J289" s="240"/>
      <c r="K289" s="239"/>
      <c r="L289" s="239"/>
      <c r="M289" s="199" t="s">
        <v>46</v>
      </c>
      <c r="N289" s="172">
        <v>0</v>
      </c>
      <c r="O289" s="172">
        <v>0</v>
      </c>
      <c r="P289" s="267"/>
      <c r="Q289" s="251"/>
      <c r="R289" s="203"/>
      <c r="S289" s="399"/>
    </row>
    <row r="290" spans="1:19" s="181" customFormat="1" ht="10.199999999999999" x14ac:dyDescent="0.2">
      <c r="A290" s="237"/>
      <c r="B290" s="251"/>
      <c r="C290" s="251"/>
      <c r="D290" s="251"/>
      <c r="E290" s="236"/>
      <c r="F290" s="236"/>
      <c r="G290" s="251"/>
      <c r="H290" s="251"/>
      <c r="I290" s="240"/>
      <c r="J290" s="240"/>
      <c r="K290" s="239"/>
      <c r="L290" s="239"/>
      <c r="M290" s="211" t="s">
        <v>1245</v>
      </c>
      <c r="N290" s="236" t="s">
        <v>1177</v>
      </c>
      <c r="O290" s="214"/>
      <c r="P290" s="267"/>
      <c r="Q290" s="251"/>
      <c r="R290" s="203"/>
      <c r="S290" s="399"/>
    </row>
    <row r="291" spans="1:19" s="181" customFormat="1" ht="10.199999999999999" x14ac:dyDescent="0.2">
      <c r="A291" s="237">
        <f>A285+1</f>
        <v>48</v>
      </c>
      <c r="B291" s="270">
        <v>44279</v>
      </c>
      <c r="C291" s="270">
        <v>46104</v>
      </c>
      <c r="D291" s="236" t="s">
        <v>945</v>
      </c>
      <c r="E291" s="236" t="s">
        <v>1128</v>
      </c>
      <c r="F291" s="236" t="s">
        <v>957</v>
      </c>
      <c r="G291" s="236" t="s">
        <v>917</v>
      </c>
      <c r="H291" s="247" t="s">
        <v>1005</v>
      </c>
      <c r="I291" s="236" t="s">
        <v>919</v>
      </c>
      <c r="J291" s="236">
        <v>14.5</v>
      </c>
      <c r="K291" s="238">
        <f>S291*9</f>
        <v>8447.003999999999</v>
      </c>
      <c r="L291" s="238">
        <f>S291*3</f>
        <v>2815.6679999999997</v>
      </c>
      <c r="M291" s="277" t="s">
        <v>42</v>
      </c>
      <c r="N291" s="286">
        <v>676.83</v>
      </c>
      <c r="O291" s="286">
        <v>676.83</v>
      </c>
      <c r="P291" s="241" t="s">
        <v>917</v>
      </c>
      <c r="Q291" s="251"/>
      <c r="R291" s="203"/>
      <c r="S291" s="245">
        <f>14.5*J291*1.2*(1+1.2+0.9)*1.2</f>
        <v>938.55599999999993</v>
      </c>
    </row>
    <row r="292" spans="1:19" s="181" customFormat="1" ht="10.199999999999999" x14ac:dyDescent="0.2">
      <c r="A292" s="237"/>
      <c r="B292" s="240"/>
      <c r="C292" s="240"/>
      <c r="D292" s="251"/>
      <c r="E292" s="236"/>
      <c r="F292" s="236"/>
      <c r="G292" s="251"/>
      <c r="H292" s="251"/>
      <c r="I292" s="240"/>
      <c r="J292" s="240"/>
      <c r="K292" s="239"/>
      <c r="L292" s="239"/>
      <c r="M292" s="285"/>
      <c r="N292" s="287"/>
      <c r="O292" s="287"/>
      <c r="P292" s="267"/>
      <c r="Q292" s="251"/>
      <c r="R292" s="203"/>
      <c r="S292" s="399"/>
    </row>
    <row r="293" spans="1:19" s="181" customFormat="1" ht="10.199999999999999" x14ac:dyDescent="0.2">
      <c r="A293" s="237"/>
      <c r="B293" s="240"/>
      <c r="C293" s="240"/>
      <c r="D293" s="251"/>
      <c r="E293" s="236"/>
      <c r="F293" s="236"/>
      <c r="G293" s="251"/>
      <c r="H293" s="251"/>
      <c r="I293" s="240"/>
      <c r="J293" s="240"/>
      <c r="K293" s="239"/>
      <c r="L293" s="239"/>
      <c r="M293" s="285"/>
      <c r="N293" s="287"/>
      <c r="O293" s="287"/>
      <c r="P293" s="267"/>
      <c r="Q293" s="251"/>
      <c r="R293" s="203"/>
      <c r="S293" s="399"/>
    </row>
    <row r="294" spans="1:19" s="181" customFormat="1" ht="10.199999999999999" x14ac:dyDescent="0.2">
      <c r="A294" s="237"/>
      <c r="B294" s="240"/>
      <c r="C294" s="240"/>
      <c r="D294" s="251"/>
      <c r="E294" s="236"/>
      <c r="F294" s="236"/>
      <c r="G294" s="251"/>
      <c r="H294" s="251"/>
      <c r="I294" s="240"/>
      <c r="J294" s="240"/>
      <c r="K294" s="239"/>
      <c r="L294" s="239"/>
      <c r="M294" s="277" t="s">
        <v>43</v>
      </c>
      <c r="N294" s="286">
        <v>115.23</v>
      </c>
      <c r="O294" s="286">
        <v>115.23</v>
      </c>
      <c r="P294" s="267"/>
      <c r="Q294" s="251"/>
      <c r="R294" s="203"/>
      <c r="S294" s="399"/>
    </row>
    <row r="295" spans="1:19" s="181" customFormat="1" ht="10.199999999999999" x14ac:dyDescent="0.2">
      <c r="A295" s="237"/>
      <c r="B295" s="240"/>
      <c r="C295" s="240"/>
      <c r="D295" s="251"/>
      <c r="E295" s="236"/>
      <c r="F295" s="236"/>
      <c r="G295" s="251"/>
      <c r="H295" s="251"/>
      <c r="I295" s="240"/>
      <c r="J295" s="240"/>
      <c r="K295" s="239"/>
      <c r="L295" s="239"/>
      <c r="M295" s="285"/>
      <c r="N295" s="287"/>
      <c r="O295" s="287"/>
      <c r="P295" s="267"/>
      <c r="Q295" s="251"/>
      <c r="R295" s="203"/>
      <c r="S295" s="399"/>
    </row>
    <row r="296" spans="1:19" s="181" customFormat="1" ht="10.199999999999999" x14ac:dyDescent="0.2">
      <c r="A296" s="237">
        <f>A291+1</f>
        <v>49</v>
      </c>
      <c r="B296" s="270">
        <v>43692</v>
      </c>
      <c r="C296" s="270">
        <v>45518</v>
      </c>
      <c r="D296" s="236" t="s">
        <v>916</v>
      </c>
      <c r="E296" s="236" t="s">
        <v>1128</v>
      </c>
      <c r="F296" s="236" t="s">
        <v>957</v>
      </c>
      <c r="G296" s="236" t="s">
        <v>917</v>
      </c>
      <c r="H296" s="247" t="s">
        <v>1122</v>
      </c>
      <c r="I296" s="236" t="s">
        <v>919</v>
      </c>
      <c r="J296" s="236">
        <v>57.5</v>
      </c>
      <c r="K296" s="238">
        <f>S296*9</f>
        <v>33496.74</v>
      </c>
      <c r="L296" s="238">
        <f>S296*3</f>
        <v>11165.58</v>
      </c>
      <c r="M296" s="285"/>
      <c r="N296" s="287"/>
      <c r="O296" s="287"/>
      <c r="P296" s="239"/>
      <c r="Q296" s="242"/>
      <c r="R296" s="174"/>
      <c r="S296" s="245">
        <f>14.5*J296*1.2*(1+1.2+0.9)*1.2</f>
        <v>3721.86</v>
      </c>
    </row>
    <row r="297" spans="1:19" s="181" customFormat="1" ht="10.199999999999999" x14ac:dyDescent="0.2">
      <c r="A297" s="237"/>
      <c r="B297" s="257"/>
      <c r="C297" s="257"/>
      <c r="D297" s="257"/>
      <c r="E297" s="236"/>
      <c r="F297" s="236"/>
      <c r="G297" s="257"/>
      <c r="H297" s="257"/>
      <c r="I297" s="257"/>
      <c r="J297" s="257"/>
      <c r="K297" s="239"/>
      <c r="L297" s="239"/>
      <c r="M297" s="277" t="s">
        <v>44</v>
      </c>
      <c r="N297" s="418">
        <v>0</v>
      </c>
      <c r="O297" s="418">
        <v>0</v>
      </c>
      <c r="P297" s="239"/>
      <c r="Q297" s="242"/>
      <c r="R297" s="174"/>
      <c r="S297" s="258"/>
    </row>
    <row r="298" spans="1:19" s="181" customFormat="1" ht="10.199999999999999" x14ac:dyDescent="0.2">
      <c r="A298" s="237"/>
      <c r="B298" s="257"/>
      <c r="C298" s="257"/>
      <c r="D298" s="257"/>
      <c r="E298" s="236"/>
      <c r="F298" s="236"/>
      <c r="G298" s="257"/>
      <c r="H298" s="257"/>
      <c r="I298" s="257"/>
      <c r="J298" s="257"/>
      <c r="K298" s="239"/>
      <c r="L298" s="239"/>
      <c r="M298" s="285"/>
      <c r="N298" s="419"/>
      <c r="O298" s="419"/>
      <c r="P298" s="239"/>
      <c r="Q298" s="242"/>
      <c r="R298" s="174"/>
      <c r="S298" s="258"/>
    </row>
    <row r="299" spans="1:19" s="181" customFormat="1" ht="10.199999999999999" x14ac:dyDescent="0.2">
      <c r="A299" s="237"/>
      <c r="B299" s="257"/>
      <c r="C299" s="257"/>
      <c r="D299" s="257"/>
      <c r="E299" s="236"/>
      <c r="F299" s="236"/>
      <c r="G299" s="257"/>
      <c r="H299" s="257"/>
      <c r="I299" s="257"/>
      <c r="J299" s="257"/>
      <c r="K299" s="239"/>
      <c r="L299" s="239"/>
      <c r="M299" s="285"/>
      <c r="N299" s="419"/>
      <c r="O299" s="419"/>
      <c r="P299" s="239"/>
      <c r="Q299" s="242"/>
      <c r="R299" s="174"/>
      <c r="S299" s="258"/>
    </row>
    <row r="300" spans="1:19" s="181" customFormat="1" ht="10.199999999999999" x14ac:dyDescent="0.2">
      <c r="A300" s="237"/>
      <c r="B300" s="257"/>
      <c r="C300" s="257"/>
      <c r="D300" s="257"/>
      <c r="E300" s="236"/>
      <c r="F300" s="236"/>
      <c r="G300" s="257"/>
      <c r="H300" s="257"/>
      <c r="I300" s="257"/>
      <c r="J300" s="257"/>
      <c r="K300" s="239"/>
      <c r="L300" s="239"/>
      <c r="M300" s="277" t="s">
        <v>45</v>
      </c>
      <c r="N300" s="418">
        <v>0</v>
      </c>
      <c r="O300" s="418">
        <v>0</v>
      </c>
      <c r="P300" s="239"/>
      <c r="Q300" s="242"/>
      <c r="R300" s="174"/>
      <c r="S300" s="258"/>
    </row>
    <row r="301" spans="1:19" s="181" customFormat="1" ht="10.199999999999999" x14ac:dyDescent="0.2">
      <c r="A301" s="237"/>
      <c r="B301" s="257"/>
      <c r="C301" s="257"/>
      <c r="D301" s="257"/>
      <c r="E301" s="236"/>
      <c r="F301" s="236"/>
      <c r="G301" s="257"/>
      <c r="H301" s="257"/>
      <c r="I301" s="257"/>
      <c r="J301" s="257"/>
      <c r="K301" s="239"/>
      <c r="L301" s="239"/>
      <c r="M301" s="285"/>
      <c r="N301" s="419"/>
      <c r="O301" s="419"/>
      <c r="P301" s="239"/>
      <c r="Q301" s="242"/>
      <c r="R301" s="174"/>
      <c r="S301" s="258"/>
    </row>
    <row r="302" spans="1:19" s="392" customFormat="1" x14ac:dyDescent="0.3">
      <c r="A302" s="237"/>
      <c r="B302" s="257"/>
      <c r="C302" s="257"/>
      <c r="D302" s="257"/>
      <c r="E302" s="236"/>
      <c r="F302" s="236"/>
      <c r="G302" s="257"/>
      <c r="H302" s="257"/>
      <c r="I302" s="257"/>
      <c r="J302" s="257"/>
      <c r="K302" s="239"/>
      <c r="L302" s="239"/>
      <c r="M302" s="285"/>
      <c r="N302" s="419"/>
      <c r="O302" s="419"/>
      <c r="P302" s="239"/>
      <c r="Q302" s="242"/>
      <c r="R302" s="398"/>
      <c r="S302" s="258"/>
    </row>
    <row r="303" spans="1:19" s="181" customFormat="1" ht="10.199999999999999" x14ac:dyDescent="0.2">
      <c r="A303" s="237">
        <f>A296+1</f>
        <v>50</v>
      </c>
      <c r="B303" s="270">
        <v>44606</v>
      </c>
      <c r="C303" s="270">
        <v>45701</v>
      </c>
      <c r="D303" s="236" t="s">
        <v>1158</v>
      </c>
      <c r="E303" s="236" t="s">
        <v>1128</v>
      </c>
      <c r="F303" s="236" t="s">
        <v>957</v>
      </c>
      <c r="G303" s="236" t="s">
        <v>917</v>
      </c>
      <c r="H303" s="247" t="s">
        <v>1159</v>
      </c>
      <c r="I303" s="236" t="s">
        <v>1160</v>
      </c>
      <c r="J303" s="236">
        <v>21.74</v>
      </c>
      <c r="K303" s="238">
        <f>S303*9</f>
        <v>6332.3402399999986</v>
      </c>
      <c r="L303" s="238">
        <f>(S303*2)+328.34</f>
        <v>1735.5267199999996</v>
      </c>
      <c r="M303" s="277" t="s">
        <v>46</v>
      </c>
      <c r="N303" s="418">
        <v>59.76</v>
      </c>
      <c r="O303" s="418">
        <v>59.76</v>
      </c>
      <c r="P303" s="284"/>
      <c r="Q303" s="242"/>
      <c r="R303" s="174"/>
      <c r="S303" s="245">
        <f>14.5*J303*1.2*(1+1.2+0.9)*0.6</f>
        <v>703.59335999999985</v>
      </c>
    </row>
    <row r="304" spans="1:19" s="181" customFormat="1" ht="10.199999999999999" x14ac:dyDescent="0.2">
      <c r="A304" s="237"/>
      <c r="B304" s="257"/>
      <c r="C304" s="257"/>
      <c r="D304" s="257"/>
      <c r="E304" s="236"/>
      <c r="F304" s="236"/>
      <c r="G304" s="257"/>
      <c r="H304" s="257"/>
      <c r="I304" s="257"/>
      <c r="J304" s="257"/>
      <c r="K304" s="239"/>
      <c r="L304" s="239"/>
      <c r="M304" s="285"/>
      <c r="N304" s="419"/>
      <c r="O304" s="419"/>
      <c r="P304" s="284"/>
      <c r="Q304" s="242"/>
      <c r="R304" s="174"/>
      <c r="S304" s="258"/>
    </row>
    <row r="305" spans="1:19" s="181" customFormat="1" ht="10.199999999999999" x14ac:dyDescent="0.2">
      <c r="A305" s="237"/>
      <c r="B305" s="257"/>
      <c r="C305" s="257"/>
      <c r="D305" s="257"/>
      <c r="E305" s="236"/>
      <c r="F305" s="236"/>
      <c r="G305" s="257"/>
      <c r="H305" s="257"/>
      <c r="I305" s="257"/>
      <c r="J305" s="257"/>
      <c r="K305" s="239"/>
      <c r="L305" s="239"/>
      <c r="M305" s="285"/>
      <c r="N305" s="419"/>
      <c r="O305" s="419"/>
      <c r="P305" s="284"/>
      <c r="Q305" s="242"/>
      <c r="R305" s="174"/>
      <c r="S305" s="258"/>
    </row>
    <row r="306" spans="1:19" s="181" customFormat="1" ht="10.199999999999999" x14ac:dyDescent="0.2">
      <c r="A306" s="237"/>
      <c r="B306" s="257"/>
      <c r="C306" s="257"/>
      <c r="D306" s="257"/>
      <c r="E306" s="236"/>
      <c r="F306" s="236"/>
      <c r="G306" s="257"/>
      <c r="H306" s="257"/>
      <c r="I306" s="257"/>
      <c r="J306" s="257"/>
      <c r="K306" s="239"/>
      <c r="L306" s="239"/>
      <c r="M306" s="277" t="s">
        <v>1245</v>
      </c>
      <c r="N306" s="241" t="s">
        <v>1177</v>
      </c>
      <c r="O306" s="242"/>
      <c r="P306" s="284"/>
      <c r="Q306" s="242"/>
      <c r="R306" s="174"/>
      <c r="S306" s="258"/>
    </row>
    <row r="307" spans="1:19" s="181" customFormat="1" ht="10.199999999999999" x14ac:dyDescent="0.2">
      <c r="A307" s="237"/>
      <c r="B307" s="257"/>
      <c r="C307" s="257"/>
      <c r="D307" s="257"/>
      <c r="E307" s="236"/>
      <c r="F307" s="236"/>
      <c r="G307" s="257"/>
      <c r="H307" s="257"/>
      <c r="I307" s="257"/>
      <c r="J307" s="257"/>
      <c r="K307" s="239"/>
      <c r="L307" s="239"/>
      <c r="M307" s="285"/>
      <c r="N307" s="420"/>
      <c r="O307" s="242"/>
      <c r="P307" s="284"/>
      <c r="Q307" s="242"/>
      <c r="R307" s="174"/>
      <c r="S307" s="258"/>
    </row>
    <row r="308" spans="1:19" s="392" customFormat="1" x14ac:dyDescent="0.3">
      <c r="A308" s="237"/>
      <c r="B308" s="257"/>
      <c r="C308" s="257"/>
      <c r="D308" s="257"/>
      <c r="E308" s="236"/>
      <c r="F308" s="236"/>
      <c r="G308" s="257"/>
      <c r="H308" s="257"/>
      <c r="I308" s="257"/>
      <c r="J308" s="257"/>
      <c r="K308" s="239"/>
      <c r="L308" s="239"/>
      <c r="M308" s="285"/>
      <c r="N308" s="420"/>
      <c r="O308" s="242"/>
      <c r="P308" s="284"/>
      <c r="Q308" s="242"/>
      <c r="R308" s="398"/>
      <c r="S308" s="258"/>
    </row>
    <row r="309" spans="1:19" s="393" customFormat="1" x14ac:dyDescent="0.3">
      <c r="A309" s="237">
        <f>A303+1</f>
        <v>51</v>
      </c>
      <c r="B309" s="243">
        <v>44523</v>
      </c>
      <c r="C309" s="243">
        <v>46348</v>
      </c>
      <c r="D309" s="247" t="s">
        <v>952</v>
      </c>
      <c r="E309" s="236" t="s">
        <v>1128</v>
      </c>
      <c r="F309" s="236" t="s">
        <v>957</v>
      </c>
      <c r="G309" s="247" t="s">
        <v>953</v>
      </c>
      <c r="H309" s="247" t="s">
        <v>1257</v>
      </c>
      <c r="I309" s="247" t="s">
        <v>925</v>
      </c>
      <c r="J309" s="248">
        <v>152.84</v>
      </c>
      <c r="K309" s="238">
        <f>S309*9</f>
        <v>89037.24768</v>
      </c>
      <c r="L309" s="238">
        <f>S309*3</f>
        <v>29679.082559999999</v>
      </c>
      <c r="M309" s="199" t="s">
        <v>42</v>
      </c>
      <c r="N309" s="172">
        <v>23866.77</v>
      </c>
      <c r="O309" s="172">
        <v>1988.89</v>
      </c>
      <c r="P309" s="250" t="s">
        <v>953</v>
      </c>
      <c r="Q309" s="207"/>
      <c r="R309" s="201"/>
      <c r="S309" s="245">
        <f>14.5*J309*1.2*(1+1.2+0.9)*1.2</f>
        <v>9893.0275199999996</v>
      </c>
    </row>
    <row r="310" spans="1:19" s="393" customFormat="1" ht="20.399999999999999" x14ac:dyDescent="0.3">
      <c r="A310" s="237"/>
      <c r="B310" s="251"/>
      <c r="C310" s="251"/>
      <c r="D310" s="251"/>
      <c r="E310" s="236"/>
      <c r="F310" s="236"/>
      <c r="G310" s="251"/>
      <c r="H310" s="251"/>
      <c r="I310" s="240"/>
      <c r="J310" s="240"/>
      <c r="K310" s="239"/>
      <c r="L310" s="239"/>
      <c r="M310" s="199" t="s">
        <v>43</v>
      </c>
      <c r="N310" s="172">
        <v>3595.56</v>
      </c>
      <c r="O310" s="172">
        <v>333.99</v>
      </c>
      <c r="P310" s="267"/>
      <c r="Q310" s="207"/>
      <c r="R310" s="201"/>
      <c r="S310" s="399"/>
    </row>
    <row r="311" spans="1:19" s="393" customFormat="1" x14ac:dyDescent="0.3">
      <c r="A311" s="237"/>
      <c r="B311" s="251"/>
      <c r="C311" s="251"/>
      <c r="D311" s="251"/>
      <c r="E311" s="236"/>
      <c r="F311" s="236"/>
      <c r="G311" s="251"/>
      <c r="H311" s="251"/>
      <c r="I311" s="240"/>
      <c r="J311" s="240"/>
      <c r="K311" s="239"/>
      <c r="L311" s="239"/>
      <c r="M311" s="199" t="s">
        <v>44</v>
      </c>
      <c r="N311" s="172">
        <v>0</v>
      </c>
      <c r="O311" s="172">
        <v>0</v>
      </c>
      <c r="P311" s="267"/>
      <c r="Q311" s="207"/>
      <c r="R311" s="201"/>
      <c r="S311" s="399"/>
    </row>
    <row r="312" spans="1:19" s="393" customFormat="1" x14ac:dyDescent="0.3">
      <c r="A312" s="237"/>
      <c r="B312" s="251"/>
      <c r="C312" s="251"/>
      <c r="D312" s="251"/>
      <c r="E312" s="236"/>
      <c r="F312" s="236"/>
      <c r="G312" s="251"/>
      <c r="H312" s="251"/>
      <c r="I312" s="240"/>
      <c r="J312" s="240"/>
      <c r="K312" s="239"/>
      <c r="L312" s="239"/>
      <c r="M312" s="199" t="s">
        <v>45</v>
      </c>
      <c r="N312" s="172">
        <v>26684.26</v>
      </c>
      <c r="O312" s="172">
        <v>0</v>
      </c>
      <c r="P312" s="267"/>
      <c r="Q312" s="207"/>
      <c r="R312" s="201"/>
      <c r="S312" s="399"/>
    </row>
    <row r="313" spans="1:19" s="393" customFormat="1" x14ac:dyDescent="0.3">
      <c r="A313" s="237"/>
      <c r="B313" s="251"/>
      <c r="C313" s="251"/>
      <c r="D313" s="251"/>
      <c r="E313" s="236"/>
      <c r="F313" s="236"/>
      <c r="G313" s="251"/>
      <c r="H313" s="251"/>
      <c r="I313" s="240"/>
      <c r="J313" s="240"/>
      <c r="K313" s="239"/>
      <c r="L313" s="239"/>
      <c r="M313" s="199" t="s">
        <v>46</v>
      </c>
      <c r="N313" s="172">
        <v>107.3</v>
      </c>
      <c r="O313" s="172">
        <v>107.3</v>
      </c>
      <c r="P313" s="267"/>
      <c r="Q313" s="207"/>
      <c r="R313" s="201"/>
      <c r="S313" s="399"/>
    </row>
    <row r="314" spans="1:19" s="393" customFormat="1" x14ac:dyDescent="0.3">
      <c r="A314" s="237"/>
      <c r="B314" s="251"/>
      <c r="C314" s="251"/>
      <c r="D314" s="251"/>
      <c r="E314" s="236"/>
      <c r="F314" s="236"/>
      <c r="G314" s="251"/>
      <c r="H314" s="251"/>
      <c r="I314" s="240"/>
      <c r="J314" s="240"/>
      <c r="K314" s="239"/>
      <c r="L314" s="239"/>
      <c r="M314" s="211" t="s">
        <v>1245</v>
      </c>
      <c r="N314" s="236" t="s">
        <v>1177</v>
      </c>
      <c r="O314" s="214"/>
      <c r="P314" s="267"/>
      <c r="Q314" s="207"/>
      <c r="R314" s="201"/>
      <c r="S314" s="399"/>
    </row>
    <row r="315" spans="1:19" s="181" customFormat="1" ht="10.199999999999999" x14ac:dyDescent="0.2">
      <c r="A315" s="237">
        <f>A309+1</f>
        <v>52</v>
      </c>
      <c r="B315" s="243">
        <v>44641</v>
      </c>
      <c r="C315" s="243" t="s">
        <v>486</v>
      </c>
      <c r="D315" s="247" t="s">
        <v>1152</v>
      </c>
      <c r="E315" s="236" t="s">
        <v>1125</v>
      </c>
      <c r="F315" s="236" t="s">
        <v>957</v>
      </c>
      <c r="G315" s="247" t="s">
        <v>1153</v>
      </c>
      <c r="H315" s="247" t="s">
        <v>1154</v>
      </c>
      <c r="I315" s="247" t="s">
        <v>1155</v>
      </c>
      <c r="J315" s="250">
        <v>16.100000000000001</v>
      </c>
      <c r="K315" s="238">
        <f>S315*9</f>
        <v>141.53552112676059</v>
      </c>
      <c r="L315" s="238">
        <f>S315*3</f>
        <v>47.178507042253528</v>
      </c>
      <c r="M315" s="199" t="s">
        <v>42</v>
      </c>
      <c r="N315" s="250" t="s">
        <v>1151</v>
      </c>
      <c r="O315" s="284"/>
      <c r="P315" s="284"/>
      <c r="Q315" s="251"/>
      <c r="R315" s="203"/>
      <c r="S315" s="404">
        <f>14.5*J315*1*(1+1.2+0.9)*1.2*12/1988*3</f>
        <v>15.726169014084508</v>
      </c>
    </row>
    <row r="316" spans="1:19" s="181" customFormat="1" ht="20.399999999999999" x14ac:dyDescent="0.2">
      <c r="A316" s="237"/>
      <c r="B316" s="240"/>
      <c r="C316" s="251"/>
      <c r="D316" s="251"/>
      <c r="E316" s="251"/>
      <c r="F316" s="236"/>
      <c r="G316" s="251"/>
      <c r="H316" s="251"/>
      <c r="I316" s="240"/>
      <c r="J316" s="240"/>
      <c r="K316" s="239"/>
      <c r="L316" s="239"/>
      <c r="M316" s="199" t="s">
        <v>43</v>
      </c>
      <c r="N316" s="284"/>
      <c r="O316" s="284"/>
      <c r="P316" s="284"/>
      <c r="Q316" s="251"/>
      <c r="R316" s="203"/>
      <c r="S316" s="405"/>
    </row>
    <row r="317" spans="1:19" s="181" customFormat="1" ht="10.199999999999999" x14ac:dyDescent="0.2">
      <c r="A317" s="237"/>
      <c r="B317" s="240"/>
      <c r="C317" s="251"/>
      <c r="D317" s="251"/>
      <c r="E317" s="251"/>
      <c r="F317" s="236"/>
      <c r="G317" s="251"/>
      <c r="H317" s="251"/>
      <c r="I317" s="240"/>
      <c r="J317" s="240"/>
      <c r="K317" s="239"/>
      <c r="L317" s="239"/>
      <c r="M317" s="199" t="s">
        <v>44</v>
      </c>
      <c r="N317" s="284"/>
      <c r="O317" s="284"/>
      <c r="P317" s="284"/>
      <c r="Q317" s="251"/>
      <c r="R317" s="203"/>
      <c r="S317" s="405"/>
    </row>
    <row r="318" spans="1:19" s="181" customFormat="1" ht="10.199999999999999" x14ac:dyDescent="0.2">
      <c r="A318" s="237"/>
      <c r="B318" s="240"/>
      <c r="C318" s="251"/>
      <c r="D318" s="251"/>
      <c r="E318" s="251"/>
      <c r="F318" s="236"/>
      <c r="G318" s="251"/>
      <c r="H318" s="251"/>
      <c r="I318" s="240"/>
      <c r="J318" s="240"/>
      <c r="K318" s="239"/>
      <c r="L318" s="239"/>
      <c r="M318" s="199" t="s">
        <v>45</v>
      </c>
      <c r="N318" s="284"/>
      <c r="O318" s="284"/>
      <c r="P318" s="284"/>
      <c r="Q318" s="251"/>
      <c r="R318" s="203"/>
      <c r="S318" s="405"/>
    </row>
    <row r="319" spans="1:19" s="181" customFormat="1" ht="10.199999999999999" x14ac:dyDescent="0.2">
      <c r="A319" s="237"/>
      <c r="B319" s="240"/>
      <c r="C319" s="251"/>
      <c r="D319" s="251"/>
      <c r="E319" s="251"/>
      <c r="F319" s="236"/>
      <c r="G319" s="251"/>
      <c r="H319" s="251"/>
      <c r="I319" s="240"/>
      <c r="J319" s="240"/>
      <c r="K319" s="239"/>
      <c r="L319" s="239"/>
      <c r="M319" s="199" t="s">
        <v>46</v>
      </c>
      <c r="N319" s="284"/>
      <c r="O319" s="284"/>
      <c r="P319" s="284"/>
      <c r="Q319" s="251"/>
      <c r="R319" s="203"/>
      <c r="S319" s="405"/>
    </row>
    <row r="320" spans="1:19" s="181" customFormat="1" ht="10.199999999999999" x14ac:dyDescent="0.2">
      <c r="A320" s="237"/>
      <c r="B320" s="240"/>
      <c r="C320" s="251"/>
      <c r="D320" s="251"/>
      <c r="E320" s="251"/>
      <c r="F320" s="236"/>
      <c r="G320" s="251"/>
      <c r="H320" s="251"/>
      <c r="I320" s="240"/>
      <c r="J320" s="240"/>
      <c r="K320" s="239"/>
      <c r="L320" s="239"/>
      <c r="M320" s="211" t="s">
        <v>1245</v>
      </c>
      <c r="N320" s="250" t="s">
        <v>1177</v>
      </c>
      <c r="O320" s="276"/>
      <c r="P320" s="276"/>
      <c r="Q320" s="251"/>
      <c r="R320" s="203"/>
      <c r="S320" s="405"/>
    </row>
    <row r="321" spans="1:19" s="181" customFormat="1" ht="10.199999999999999" x14ac:dyDescent="0.2">
      <c r="A321" s="237">
        <f>A315+1</f>
        <v>53</v>
      </c>
      <c r="B321" s="243">
        <v>44553</v>
      </c>
      <c r="C321" s="243">
        <v>44712</v>
      </c>
      <c r="D321" s="247" t="s">
        <v>1164</v>
      </c>
      <c r="E321" s="236" t="s">
        <v>1039</v>
      </c>
      <c r="F321" s="236" t="s">
        <v>957</v>
      </c>
      <c r="G321" s="247" t="s">
        <v>917</v>
      </c>
      <c r="H321" s="247" t="s">
        <v>1165</v>
      </c>
      <c r="I321" s="247" t="s">
        <v>1166</v>
      </c>
      <c r="J321" s="250">
        <v>1897.5</v>
      </c>
      <c r="K321" s="238">
        <f>S321*5</f>
        <v>12356.275653923545</v>
      </c>
      <c r="L321" s="238">
        <v>0</v>
      </c>
      <c r="M321" s="199" t="s">
        <v>42</v>
      </c>
      <c r="N321" s="186">
        <v>359.24</v>
      </c>
      <c r="O321" s="172">
        <v>0</v>
      </c>
      <c r="P321" s="247" t="s">
        <v>917</v>
      </c>
      <c r="Q321" s="236" t="s">
        <v>1193</v>
      </c>
      <c r="R321" s="203"/>
      <c r="S321" s="404">
        <f>14.5*J321*1*(1+1.2+0.9)*0.8*12/1988*6</f>
        <v>2471.2551307847089</v>
      </c>
    </row>
    <row r="322" spans="1:19" s="181" customFormat="1" ht="20.399999999999999" x14ac:dyDescent="0.2">
      <c r="A322" s="237"/>
      <c r="B322" s="240"/>
      <c r="C322" s="251"/>
      <c r="D322" s="251"/>
      <c r="E322" s="265"/>
      <c r="F322" s="236"/>
      <c r="G322" s="251"/>
      <c r="H322" s="251"/>
      <c r="I322" s="240"/>
      <c r="J322" s="240"/>
      <c r="K322" s="239"/>
      <c r="L322" s="239"/>
      <c r="M322" s="199" t="s">
        <v>43</v>
      </c>
      <c r="N322" s="186">
        <v>494.02</v>
      </c>
      <c r="O322" s="172">
        <v>0</v>
      </c>
      <c r="P322" s="251"/>
      <c r="Q322" s="236"/>
      <c r="R322" s="203"/>
      <c r="S322" s="405"/>
    </row>
    <row r="323" spans="1:19" s="181" customFormat="1" ht="10.199999999999999" x14ac:dyDescent="0.2">
      <c r="A323" s="237"/>
      <c r="B323" s="240"/>
      <c r="C323" s="251"/>
      <c r="D323" s="251"/>
      <c r="E323" s="251"/>
      <c r="F323" s="236"/>
      <c r="G323" s="251"/>
      <c r="H323" s="251"/>
      <c r="I323" s="240"/>
      <c r="J323" s="240"/>
      <c r="K323" s="239"/>
      <c r="L323" s="239"/>
      <c r="M323" s="199" t="s">
        <v>44</v>
      </c>
      <c r="N323" s="186">
        <v>0</v>
      </c>
      <c r="O323" s="172">
        <v>0</v>
      </c>
      <c r="P323" s="251"/>
      <c r="Q323" s="236"/>
      <c r="R323" s="203"/>
      <c r="S323" s="405"/>
    </row>
    <row r="324" spans="1:19" s="181" customFormat="1" ht="10.199999999999999" x14ac:dyDescent="0.2">
      <c r="A324" s="237"/>
      <c r="B324" s="240"/>
      <c r="C324" s="251"/>
      <c r="D324" s="251"/>
      <c r="E324" s="251"/>
      <c r="F324" s="236"/>
      <c r="G324" s="251"/>
      <c r="H324" s="251"/>
      <c r="I324" s="240"/>
      <c r="J324" s="240"/>
      <c r="K324" s="239"/>
      <c r="L324" s="239"/>
      <c r="M324" s="199" t="s">
        <v>45</v>
      </c>
      <c r="N324" s="186">
        <v>3227.1</v>
      </c>
      <c r="O324" s="172">
        <v>0</v>
      </c>
      <c r="P324" s="251"/>
      <c r="Q324" s="236"/>
      <c r="R324" s="203"/>
      <c r="S324" s="405"/>
    </row>
    <row r="325" spans="1:19" s="181" customFormat="1" ht="10.199999999999999" x14ac:dyDescent="0.2">
      <c r="A325" s="237"/>
      <c r="B325" s="240"/>
      <c r="C325" s="251"/>
      <c r="D325" s="251"/>
      <c r="E325" s="251"/>
      <c r="F325" s="236"/>
      <c r="G325" s="251"/>
      <c r="H325" s="251"/>
      <c r="I325" s="240"/>
      <c r="J325" s="240"/>
      <c r="K325" s="239"/>
      <c r="L325" s="239"/>
      <c r="M325" s="199" t="s">
        <v>46</v>
      </c>
      <c r="N325" s="186">
        <v>0</v>
      </c>
      <c r="O325" s="172">
        <v>0</v>
      </c>
      <c r="P325" s="251"/>
      <c r="Q325" s="236"/>
      <c r="R325" s="203"/>
      <c r="S325" s="405"/>
    </row>
    <row r="326" spans="1:19" s="181" customFormat="1" ht="10.199999999999999" x14ac:dyDescent="0.2">
      <c r="A326" s="237"/>
      <c r="B326" s="240"/>
      <c r="C326" s="251"/>
      <c r="D326" s="251"/>
      <c r="E326" s="251"/>
      <c r="F326" s="236"/>
      <c r="G326" s="251"/>
      <c r="H326" s="251"/>
      <c r="I326" s="240"/>
      <c r="J326" s="240"/>
      <c r="K326" s="239"/>
      <c r="L326" s="239"/>
      <c r="M326" s="211" t="s">
        <v>1245</v>
      </c>
      <c r="N326" s="236" t="s">
        <v>1177</v>
      </c>
      <c r="O326" s="214"/>
      <c r="P326" s="251"/>
      <c r="Q326" s="236"/>
      <c r="R326" s="203"/>
      <c r="S326" s="405"/>
    </row>
    <row r="327" spans="1:19" s="181" customFormat="1" ht="10.199999999999999" x14ac:dyDescent="0.2">
      <c r="A327" s="237">
        <f>A321+1</f>
        <v>54</v>
      </c>
      <c r="B327" s="259">
        <v>44707</v>
      </c>
      <c r="C327" s="259">
        <v>44676</v>
      </c>
      <c r="D327" s="236" t="s">
        <v>1216</v>
      </c>
      <c r="E327" s="236" t="s">
        <v>1213</v>
      </c>
      <c r="F327" s="236" t="s">
        <v>957</v>
      </c>
      <c r="G327" s="236" t="s">
        <v>820</v>
      </c>
      <c r="H327" s="236" t="s">
        <v>1217</v>
      </c>
      <c r="I327" s="236" t="s">
        <v>638</v>
      </c>
      <c r="J327" s="241">
        <v>22.4</v>
      </c>
      <c r="K327" s="238">
        <f>S327*9</f>
        <v>4209.4079999999985</v>
      </c>
      <c r="L327" s="241">
        <f>S327*3</f>
        <v>1403.1359999999995</v>
      </c>
      <c r="M327" s="199" t="s">
        <v>42</v>
      </c>
      <c r="N327" s="236" t="s">
        <v>1142</v>
      </c>
      <c r="O327" s="242"/>
      <c r="P327" s="241" t="s">
        <v>820</v>
      </c>
      <c r="Q327" s="251"/>
      <c r="R327" s="203"/>
      <c r="S327" s="245">
        <f>14.5*J327*1.2*(1+1+0)*0.6</f>
        <v>467.71199999999988</v>
      </c>
    </row>
    <row r="328" spans="1:19" s="181" customFormat="1" ht="20.399999999999999" x14ac:dyDescent="0.2">
      <c r="A328" s="237"/>
      <c r="B328" s="240"/>
      <c r="C328" s="251"/>
      <c r="D328" s="251"/>
      <c r="E328" s="413"/>
      <c r="F328" s="236"/>
      <c r="G328" s="251"/>
      <c r="H328" s="251"/>
      <c r="I328" s="240"/>
      <c r="J328" s="240"/>
      <c r="K328" s="239"/>
      <c r="L328" s="239"/>
      <c r="M328" s="199" t="s">
        <v>43</v>
      </c>
      <c r="N328" s="242"/>
      <c r="O328" s="242"/>
      <c r="P328" s="267"/>
      <c r="Q328" s="251"/>
      <c r="R328" s="203"/>
      <c r="S328" s="399"/>
    </row>
    <row r="329" spans="1:19" s="181" customFormat="1" ht="10.199999999999999" x14ac:dyDescent="0.2">
      <c r="A329" s="237"/>
      <c r="B329" s="240"/>
      <c r="C329" s="251"/>
      <c r="D329" s="251"/>
      <c r="E329" s="413"/>
      <c r="F329" s="236"/>
      <c r="G329" s="251"/>
      <c r="H329" s="251"/>
      <c r="I329" s="240"/>
      <c r="J329" s="240"/>
      <c r="K329" s="239"/>
      <c r="L329" s="239"/>
      <c r="M329" s="199" t="s">
        <v>44</v>
      </c>
      <c r="N329" s="242"/>
      <c r="O329" s="242"/>
      <c r="P329" s="267"/>
      <c r="Q329" s="251"/>
      <c r="R329" s="203"/>
      <c r="S329" s="399"/>
    </row>
    <row r="330" spans="1:19" s="181" customFormat="1" ht="10.199999999999999" x14ac:dyDescent="0.2">
      <c r="A330" s="237"/>
      <c r="B330" s="240"/>
      <c r="C330" s="251"/>
      <c r="D330" s="251"/>
      <c r="E330" s="413"/>
      <c r="F330" s="236"/>
      <c r="G330" s="251"/>
      <c r="H330" s="251"/>
      <c r="I330" s="240"/>
      <c r="J330" s="240"/>
      <c r="K330" s="239"/>
      <c r="L330" s="239"/>
      <c r="M330" s="199" t="s">
        <v>45</v>
      </c>
      <c r="N330" s="242"/>
      <c r="O330" s="242"/>
      <c r="P330" s="267"/>
      <c r="Q330" s="251"/>
      <c r="R330" s="203"/>
      <c r="S330" s="399"/>
    </row>
    <row r="331" spans="1:19" s="181" customFormat="1" ht="10.199999999999999" x14ac:dyDescent="0.2">
      <c r="A331" s="237"/>
      <c r="B331" s="240"/>
      <c r="C331" s="251"/>
      <c r="D331" s="251"/>
      <c r="E331" s="413"/>
      <c r="F331" s="236"/>
      <c r="G331" s="251"/>
      <c r="H331" s="251"/>
      <c r="I331" s="240"/>
      <c r="J331" s="240"/>
      <c r="K331" s="239"/>
      <c r="L331" s="239"/>
      <c r="M331" s="199" t="s">
        <v>46</v>
      </c>
      <c r="N331" s="242"/>
      <c r="O331" s="242"/>
      <c r="P331" s="267"/>
      <c r="Q331" s="251"/>
      <c r="R331" s="203"/>
      <c r="S331" s="399"/>
    </row>
    <row r="332" spans="1:19" s="181" customFormat="1" ht="10.199999999999999" x14ac:dyDescent="0.2">
      <c r="A332" s="237"/>
      <c r="B332" s="240"/>
      <c r="C332" s="251"/>
      <c r="D332" s="251"/>
      <c r="E332" s="413"/>
      <c r="F332" s="236"/>
      <c r="G332" s="251"/>
      <c r="H332" s="251"/>
      <c r="I332" s="240"/>
      <c r="J332" s="240"/>
      <c r="K332" s="239"/>
      <c r="L332" s="239"/>
      <c r="M332" s="211" t="s">
        <v>1245</v>
      </c>
      <c r="N332" s="236" t="s">
        <v>1177</v>
      </c>
      <c r="O332" s="214"/>
      <c r="P332" s="267"/>
      <c r="Q332" s="251"/>
      <c r="R332" s="203"/>
      <c r="S332" s="399"/>
    </row>
    <row r="333" spans="1:19" s="181" customFormat="1" ht="10.199999999999999" x14ac:dyDescent="0.2">
      <c r="A333" s="421"/>
      <c r="B333" s="422" t="s">
        <v>1145</v>
      </c>
      <c r="C333" s="423"/>
      <c r="D333" s="423"/>
      <c r="E333" s="423"/>
      <c r="F333" s="423"/>
      <c r="G333" s="423"/>
      <c r="H333" s="423"/>
      <c r="I333" s="423"/>
      <c r="J333" s="238">
        <f>SUM(J9:J332)-J171-J195-J201-J213-J219</f>
        <v>11343.709999999995</v>
      </c>
      <c r="K333" s="238">
        <f>SUM(K9:K332)</f>
        <v>4840518.4679040387</v>
      </c>
      <c r="L333" s="238">
        <f>SUM(L9:L332)</f>
        <v>1621572.3783920112</v>
      </c>
      <c r="M333" s="176" t="s">
        <v>69</v>
      </c>
      <c r="N333" s="212">
        <f>N334+N335+N336+N337+N338+N339</f>
        <v>186129.14</v>
      </c>
      <c r="O333" s="212">
        <f>O334+O335+O336+O337+O338+O339</f>
        <v>19787.52</v>
      </c>
      <c r="P333" s="238"/>
      <c r="Q333" s="424"/>
      <c r="R333" s="174"/>
      <c r="S333" s="406"/>
    </row>
    <row r="334" spans="1:19" s="181" customFormat="1" ht="10.199999999999999" x14ac:dyDescent="0.2">
      <c r="A334" s="421"/>
      <c r="B334" s="422"/>
      <c r="C334" s="423"/>
      <c r="D334" s="423"/>
      <c r="E334" s="423"/>
      <c r="F334" s="423"/>
      <c r="G334" s="423"/>
      <c r="H334" s="423"/>
      <c r="I334" s="423"/>
      <c r="J334" s="237"/>
      <c r="K334" s="238"/>
      <c r="L334" s="238"/>
      <c r="M334" s="199" t="s">
        <v>42</v>
      </c>
      <c r="N334" s="197">
        <f>N75+N237+N255+N261+N273+N279+N285+N291+N309+N321</f>
        <v>72231.360000000001</v>
      </c>
      <c r="O334" s="197">
        <f>O75+O237+O255+O261+O273+O279+O285+O291+O309+O321</f>
        <v>14601.49</v>
      </c>
      <c r="P334" s="240"/>
      <c r="Q334" s="425"/>
      <c r="R334" s="174"/>
      <c r="S334" s="406"/>
    </row>
    <row r="335" spans="1:19" s="181" customFormat="1" ht="20.399999999999999" x14ac:dyDescent="0.2">
      <c r="A335" s="421"/>
      <c r="B335" s="422"/>
      <c r="C335" s="423"/>
      <c r="D335" s="423"/>
      <c r="E335" s="423"/>
      <c r="F335" s="423"/>
      <c r="G335" s="423"/>
      <c r="H335" s="423"/>
      <c r="I335" s="423"/>
      <c r="J335" s="237"/>
      <c r="K335" s="238"/>
      <c r="L335" s="238"/>
      <c r="M335" s="199" t="s">
        <v>43</v>
      </c>
      <c r="N335" s="197">
        <f>N76+N238+N256+N263+N274+N280+N286+N294+N310+N322</f>
        <v>8283.6500000000015</v>
      </c>
      <c r="O335" s="197">
        <f>O76+O238+O256+O263+O274+O280+O286+O294+O310+O322</f>
        <v>2307.5100000000002</v>
      </c>
      <c r="P335" s="240"/>
      <c r="Q335" s="425"/>
      <c r="R335" s="174"/>
      <c r="S335" s="406"/>
    </row>
    <row r="336" spans="1:19" s="181" customFormat="1" ht="10.199999999999999" x14ac:dyDescent="0.2">
      <c r="A336" s="421"/>
      <c r="B336" s="422"/>
      <c r="C336" s="423"/>
      <c r="D336" s="423"/>
      <c r="E336" s="423"/>
      <c r="F336" s="423"/>
      <c r="G336" s="423"/>
      <c r="H336" s="423"/>
      <c r="I336" s="423"/>
      <c r="J336" s="237"/>
      <c r="K336" s="238"/>
      <c r="L336" s="238"/>
      <c r="M336" s="199" t="s">
        <v>44</v>
      </c>
      <c r="N336" s="197">
        <f>N77+N239+N257+N267+N275+N281+N287+N297+N311+N323</f>
        <v>0</v>
      </c>
      <c r="O336" s="197">
        <f>O77+O239+O257+O267+O275+O281+O287+O297+O311+O323</f>
        <v>0</v>
      </c>
      <c r="P336" s="240"/>
      <c r="Q336" s="425"/>
      <c r="R336" s="174"/>
      <c r="S336" s="406"/>
    </row>
    <row r="337" spans="1:19" s="181" customFormat="1" ht="10.199999999999999" x14ac:dyDescent="0.2">
      <c r="A337" s="421"/>
      <c r="B337" s="422"/>
      <c r="C337" s="423"/>
      <c r="D337" s="423"/>
      <c r="E337" s="423"/>
      <c r="F337" s="423"/>
      <c r="G337" s="423"/>
      <c r="H337" s="423"/>
      <c r="I337" s="423"/>
      <c r="J337" s="237"/>
      <c r="K337" s="238"/>
      <c r="L337" s="238"/>
      <c r="M337" s="199" t="s">
        <v>45</v>
      </c>
      <c r="N337" s="197">
        <f>N78+N240+N258+N265+N276+N282+N288+N300+N312+N324</f>
        <v>96303.52</v>
      </c>
      <c r="O337" s="197">
        <f>O78+O240+O258+O265+O276+O282+O288+O300+O312+O324</f>
        <v>0</v>
      </c>
      <c r="P337" s="240"/>
      <c r="Q337" s="425"/>
      <c r="R337" s="174"/>
      <c r="S337" s="406"/>
    </row>
    <row r="338" spans="1:19" s="181" customFormat="1" ht="10.199999999999999" x14ac:dyDescent="0.2">
      <c r="A338" s="421"/>
      <c r="B338" s="422"/>
      <c r="C338" s="423"/>
      <c r="D338" s="423"/>
      <c r="E338" s="423"/>
      <c r="F338" s="423"/>
      <c r="G338" s="423"/>
      <c r="H338" s="423"/>
      <c r="I338" s="423"/>
      <c r="J338" s="237"/>
      <c r="K338" s="238"/>
      <c r="L338" s="238"/>
      <c r="M338" s="199" t="s">
        <v>46</v>
      </c>
      <c r="N338" s="197">
        <f>N79+N241+N259+N269+N277+N283+N289+N303+N313+N325</f>
        <v>852.57999999999993</v>
      </c>
      <c r="O338" s="197">
        <f>O79+O241+O259+O269+O277+O283+O289+O303+O313+O325</f>
        <v>852.57999999999993</v>
      </c>
      <c r="P338" s="240"/>
      <c r="Q338" s="425"/>
      <c r="R338" s="174"/>
      <c r="S338" s="406"/>
    </row>
    <row r="339" spans="1:19" s="181" customFormat="1" ht="10.199999999999999" x14ac:dyDescent="0.2">
      <c r="A339" s="421"/>
      <c r="B339" s="422"/>
      <c r="C339" s="423"/>
      <c r="D339" s="423"/>
      <c r="E339" s="423"/>
      <c r="F339" s="423"/>
      <c r="G339" s="423"/>
      <c r="H339" s="423"/>
      <c r="I339" s="423"/>
      <c r="J339" s="237"/>
      <c r="K339" s="238"/>
      <c r="L339" s="238"/>
      <c r="M339" s="211" t="s">
        <v>1245</v>
      </c>
      <c r="N339" s="197">
        <f>N44+N38+N32+N26+N14</f>
        <v>8458.0299999999988</v>
      </c>
      <c r="O339" s="197">
        <f>O44+O38+O32+O26+O14</f>
        <v>2025.9399999999998</v>
      </c>
      <c r="P339" s="240"/>
      <c r="Q339" s="425"/>
      <c r="R339" s="174"/>
      <c r="S339" s="406"/>
    </row>
    <row r="340" spans="1:19" s="181" customFormat="1" ht="15.6" x14ac:dyDescent="0.3">
      <c r="A340" s="281" t="s">
        <v>1007</v>
      </c>
      <c r="B340" s="281"/>
      <c r="C340" s="281"/>
      <c r="D340" s="281"/>
      <c r="E340" s="281"/>
      <c r="F340" s="281"/>
      <c r="G340" s="281"/>
      <c r="H340" s="281"/>
      <c r="I340" s="281"/>
      <c r="J340" s="281"/>
      <c r="K340" s="281"/>
      <c r="L340" s="281"/>
      <c r="M340" s="281"/>
      <c r="N340" s="281"/>
      <c r="O340" s="281"/>
      <c r="P340" s="281"/>
      <c r="Q340" s="257"/>
      <c r="R340" s="174"/>
      <c r="S340" s="406"/>
    </row>
    <row r="341" spans="1:19" s="181" customFormat="1" x14ac:dyDescent="0.2">
      <c r="A341" s="237">
        <v>55</v>
      </c>
      <c r="B341" s="243">
        <v>43101</v>
      </c>
      <c r="C341" s="243">
        <v>44926</v>
      </c>
      <c r="D341" s="236" t="s">
        <v>103</v>
      </c>
      <c r="E341" s="236" t="s">
        <v>958</v>
      </c>
      <c r="F341" s="236" t="s">
        <v>957</v>
      </c>
      <c r="G341" s="236" t="s">
        <v>105</v>
      </c>
      <c r="H341" s="236" t="s">
        <v>1214</v>
      </c>
      <c r="I341" s="236" t="s">
        <v>109</v>
      </c>
      <c r="J341" s="236">
        <v>52.5</v>
      </c>
      <c r="K341" s="238">
        <f>S341*9</f>
        <v>4345.4934000000003</v>
      </c>
      <c r="L341" s="238">
        <f>S341*3</f>
        <v>1448.4978000000001</v>
      </c>
      <c r="M341" s="199" t="s">
        <v>42</v>
      </c>
      <c r="N341" s="241" t="s">
        <v>1142</v>
      </c>
      <c r="O341" s="251"/>
      <c r="P341" s="241" t="s">
        <v>105</v>
      </c>
      <c r="Q341" s="244"/>
      <c r="R341" s="174"/>
      <c r="S341" s="245">
        <f>(14.5*52.5*1.2*(1+1.2+0.9)*0.1)+(14.5*57.37*1.2*(1+0.1+0.9)*0.1)</f>
        <v>482.83260000000001</v>
      </c>
    </row>
    <row r="342" spans="1:19" s="181" customFormat="1" ht="20.399999999999999" x14ac:dyDescent="0.2">
      <c r="A342" s="237"/>
      <c r="B342" s="257"/>
      <c r="C342" s="257"/>
      <c r="D342" s="257"/>
      <c r="E342" s="236"/>
      <c r="F342" s="236"/>
      <c r="G342" s="257"/>
      <c r="H342" s="257"/>
      <c r="I342" s="257"/>
      <c r="J342" s="257"/>
      <c r="K342" s="239"/>
      <c r="L342" s="239"/>
      <c r="M342" s="199" t="s">
        <v>43</v>
      </c>
      <c r="N342" s="241" t="s">
        <v>1179</v>
      </c>
      <c r="O342" s="242"/>
      <c r="P342" s="239"/>
      <c r="Q342" s="244"/>
      <c r="R342" s="174"/>
      <c r="S342" s="258"/>
    </row>
    <row r="343" spans="1:19" s="181" customFormat="1" ht="10.199999999999999" x14ac:dyDescent="0.2">
      <c r="A343" s="237"/>
      <c r="B343" s="257"/>
      <c r="C343" s="257"/>
      <c r="D343" s="257"/>
      <c r="E343" s="236"/>
      <c r="F343" s="236"/>
      <c r="G343" s="257"/>
      <c r="H343" s="257"/>
      <c r="I343" s="257"/>
      <c r="J343" s="257"/>
      <c r="K343" s="239"/>
      <c r="L343" s="239"/>
      <c r="M343" s="199" t="s">
        <v>44</v>
      </c>
      <c r="N343" s="242"/>
      <c r="O343" s="242"/>
      <c r="P343" s="239"/>
      <c r="Q343" s="244"/>
      <c r="R343" s="174"/>
      <c r="S343" s="258"/>
    </row>
    <row r="344" spans="1:19" s="181" customFormat="1" ht="10.199999999999999" x14ac:dyDescent="0.2">
      <c r="A344" s="237"/>
      <c r="B344" s="257"/>
      <c r="C344" s="257"/>
      <c r="D344" s="257"/>
      <c r="E344" s="236"/>
      <c r="F344" s="236"/>
      <c r="G344" s="257"/>
      <c r="H344" s="257"/>
      <c r="I344" s="257"/>
      <c r="J344" s="257"/>
      <c r="K344" s="239"/>
      <c r="L344" s="239"/>
      <c r="M344" s="199" t="s">
        <v>45</v>
      </c>
      <c r="N344" s="242"/>
      <c r="O344" s="242"/>
      <c r="P344" s="239"/>
      <c r="Q344" s="244"/>
      <c r="R344" s="174"/>
      <c r="S344" s="258"/>
    </row>
    <row r="345" spans="1:19" s="181" customFormat="1" ht="10.199999999999999" x14ac:dyDescent="0.2">
      <c r="A345" s="237"/>
      <c r="B345" s="257"/>
      <c r="C345" s="257"/>
      <c r="D345" s="257"/>
      <c r="E345" s="236"/>
      <c r="F345" s="236"/>
      <c r="G345" s="257"/>
      <c r="H345" s="257"/>
      <c r="I345" s="257"/>
      <c r="J345" s="257"/>
      <c r="K345" s="239"/>
      <c r="L345" s="239"/>
      <c r="M345" s="199" t="s">
        <v>46</v>
      </c>
      <c r="N345" s="242"/>
      <c r="O345" s="242"/>
      <c r="P345" s="239"/>
      <c r="Q345" s="244"/>
      <c r="R345" s="174"/>
      <c r="S345" s="258"/>
    </row>
    <row r="346" spans="1:19" s="181" customFormat="1" ht="10.199999999999999" x14ac:dyDescent="0.2">
      <c r="A346" s="237"/>
      <c r="B346" s="257"/>
      <c r="C346" s="257"/>
      <c r="D346" s="257"/>
      <c r="E346" s="236"/>
      <c r="F346" s="236"/>
      <c r="G346" s="257"/>
      <c r="H346" s="257"/>
      <c r="I346" s="257"/>
      <c r="J346" s="257"/>
      <c r="K346" s="239"/>
      <c r="L346" s="239"/>
      <c r="M346" s="211" t="s">
        <v>1245</v>
      </c>
      <c r="N346" s="195">
        <v>1328.6</v>
      </c>
      <c r="O346" s="195">
        <v>194.83</v>
      </c>
      <c r="P346" s="239"/>
      <c r="Q346" s="244"/>
      <c r="R346" s="174"/>
      <c r="S346" s="258"/>
    </row>
    <row r="347" spans="1:19" s="181" customFormat="1" ht="10.199999999999999" x14ac:dyDescent="0.2">
      <c r="A347" s="237">
        <f>A341+1</f>
        <v>56</v>
      </c>
      <c r="B347" s="243">
        <v>43101</v>
      </c>
      <c r="C347" s="243">
        <v>46752</v>
      </c>
      <c r="D347" s="236" t="s">
        <v>110</v>
      </c>
      <c r="E347" s="236" t="s">
        <v>958</v>
      </c>
      <c r="F347" s="236" t="s">
        <v>957</v>
      </c>
      <c r="G347" s="236" t="s">
        <v>112</v>
      </c>
      <c r="H347" s="236" t="s">
        <v>1008</v>
      </c>
      <c r="I347" s="236" t="s">
        <v>116</v>
      </c>
      <c r="J347" s="236">
        <v>192.6</v>
      </c>
      <c r="K347" s="238">
        <f>S347*9</f>
        <v>9349.9595999999983</v>
      </c>
      <c r="L347" s="238">
        <f>S347*3</f>
        <v>3116.6531999999997</v>
      </c>
      <c r="M347" s="199" t="s">
        <v>42</v>
      </c>
      <c r="N347" s="241" t="s">
        <v>1142</v>
      </c>
      <c r="O347" s="242"/>
      <c r="P347" s="241" t="s">
        <v>112</v>
      </c>
      <c r="Q347" s="244"/>
      <c r="R347" s="174"/>
      <c r="S347" s="245">
        <f>14.5*J347*1.2*(1+1.2+0.9)*0.1</f>
        <v>1038.8843999999999</v>
      </c>
    </row>
    <row r="348" spans="1:19" s="181" customFormat="1" ht="20.399999999999999" x14ac:dyDescent="0.2">
      <c r="A348" s="237"/>
      <c r="B348" s="244"/>
      <c r="C348" s="244"/>
      <c r="D348" s="244"/>
      <c r="E348" s="236"/>
      <c r="F348" s="236"/>
      <c r="G348" s="244"/>
      <c r="H348" s="244"/>
      <c r="I348" s="244"/>
      <c r="J348" s="244"/>
      <c r="K348" s="238"/>
      <c r="L348" s="238"/>
      <c r="M348" s="199" t="s">
        <v>43</v>
      </c>
      <c r="N348" s="242"/>
      <c r="O348" s="242"/>
      <c r="P348" s="238"/>
      <c r="Q348" s="244"/>
      <c r="R348" s="174"/>
      <c r="S348" s="249"/>
    </row>
    <row r="349" spans="1:19" s="181" customFormat="1" ht="10.199999999999999" x14ac:dyDescent="0.2">
      <c r="A349" s="237"/>
      <c r="B349" s="244"/>
      <c r="C349" s="244"/>
      <c r="D349" s="244"/>
      <c r="E349" s="236"/>
      <c r="F349" s="236"/>
      <c r="G349" s="244"/>
      <c r="H349" s="244"/>
      <c r="I349" s="244"/>
      <c r="J349" s="244"/>
      <c r="K349" s="238"/>
      <c r="L349" s="238"/>
      <c r="M349" s="199" t="s">
        <v>44</v>
      </c>
      <c r="N349" s="242"/>
      <c r="O349" s="242"/>
      <c r="P349" s="238"/>
      <c r="Q349" s="244"/>
      <c r="R349" s="174"/>
      <c r="S349" s="249"/>
    </row>
    <row r="350" spans="1:19" s="181" customFormat="1" ht="10.199999999999999" x14ac:dyDescent="0.2">
      <c r="A350" s="237"/>
      <c r="B350" s="244"/>
      <c r="C350" s="244"/>
      <c r="D350" s="244"/>
      <c r="E350" s="236"/>
      <c r="F350" s="236"/>
      <c r="G350" s="244"/>
      <c r="H350" s="244"/>
      <c r="I350" s="244"/>
      <c r="J350" s="244"/>
      <c r="K350" s="238"/>
      <c r="L350" s="238"/>
      <c r="M350" s="199" t="s">
        <v>45</v>
      </c>
      <c r="N350" s="242"/>
      <c r="O350" s="242"/>
      <c r="P350" s="238"/>
      <c r="Q350" s="244"/>
      <c r="R350" s="174"/>
      <c r="S350" s="249"/>
    </row>
    <row r="351" spans="1:19" s="181" customFormat="1" ht="10.199999999999999" x14ac:dyDescent="0.2">
      <c r="A351" s="237"/>
      <c r="B351" s="244"/>
      <c r="C351" s="244"/>
      <c r="D351" s="244"/>
      <c r="E351" s="236"/>
      <c r="F351" s="236"/>
      <c r="G351" s="244"/>
      <c r="H351" s="244"/>
      <c r="I351" s="244"/>
      <c r="J351" s="244"/>
      <c r="K351" s="238"/>
      <c r="L351" s="238"/>
      <c r="M351" s="199" t="s">
        <v>46</v>
      </c>
      <c r="N351" s="242"/>
      <c r="O351" s="242"/>
      <c r="P351" s="238"/>
      <c r="Q351" s="244"/>
      <c r="R351" s="174"/>
      <c r="S351" s="249"/>
    </row>
    <row r="352" spans="1:19" s="181" customFormat="1" ht="10.199999999999999" x14ac:dyDescent="0.2">
      <c r="A352" s="237"/>
      <c r="B352" s="244"/>
      <c r="C352" s="244"/>
      <c r="D352" s="244"/>
      <c r="E352" s="236"/>
      <c r="F352" s="236"/>
      <c r="G352" s="244"/>
      <c r="H352" s="244"/>
      <c r="I352" s="244"/>
      <c r="J352" s="244"/>
      <c r="K352" s="238"/>
      <c r="L352" s="238"/>
      <c r="M352" s="211" t="s">
        <v>1245</v>
      </c>
      <c r="N352" s="195">
        <v>227.27</v>
      </c>
      <c r="O352" s="195">
        <v>227.27</v>
      </c>
      <c r="P352" s="238"/>
      <c r="Q352" s="244"/>
      <c r="R352" s="174"/>
      <c r="S352" s="249"/>
    </row>
    <row r="353" spans="1:19" s="181" customFormat="1" ht="10.199999999999999" x14ac:dyDescent="0.2">
      <c r="A353" s="237">
        <f>A347+1</f>
        <v>57</v>
      </c>
      <c r="B353" s="243">
        <v>43101</v>
      </c>
      <c r="C353" s="243">
        <v>44926</v>
      </c>
      <c r="D353" s="236" t="s">
        <v>117</v>
      </c>
      <c r="E353" s="236" t="s">
        <v>958</v>
      </c>
      <c r="F353" s="236" t="s">
        <v>957</v>
      </c>
      <c r="G353" s="236" t="s">
        <v>118</v>
      </c>
      <c r="H353" s="236" t="s">
        <v>1009</v>
      </c>
      <c r="I353" s="236" t="s">
        <v>116</v>
      </c>
      <c r="J353" s="236">
        <v>71.8</v>
      </c>
      <c r="K353" s="238">
        <f>S353*6</f>
        <v>17990.207999999999</v>
      </c>
      <c r="L353" s="238">
        <f>S353*3</f>
        <v>8995.1039999999994</v>
      </c>
      <c r="M353" s="199" t="s">
        <v>42</v>
      </c>
      <c r="N353" s="241" t="s">
        <v>1142</v>
      </c>
      <c r="O353" s="242"/>
      <c r="P353" s="241" t="s">
        <v>118</v>
      </c>
      <c r="Q353" s="244"/>
      <c r="R353" s="174"/>
      <c r="S353" s="245">
        <f>14.5*J353*1*(1+0.5+0.9)*1.2</f>
        <v>2998.3679999999999</v>
      </c>
    </row>
    <row r="354" spans="1:19" s="181" customFormat="1" ht="20.399999999999999" x14ac:dyDescent="0.2">
      <c r="A354" s="237"/>
      <c r="B354" s="244"/>
      <c r="C354" s="244"/>
      <c r="D354" s="244"/>
      <c r="E354" s="236"/>
      <c r="F354" s="236"/>
      <c r="G354" s="244"/>
      <c r="H354" s="244"/>
      <c r="I354" s="244"/>
      <c r="J354" s="244"/>
      <c r="K354" s="238"/>
      <c r="L354" s="238"/>
      <c r="M354" s="199" t="s">
        <v>43</v>
      </c>
      <c r="N354" s="242"/>
      <c r="O354" s="242"/>
      <c r="P354" s="238"/>
      <c r="Q354" s="244"/>
      <c r="R354" s="174"/>
      <c r="S354" s="249"/>
    </row>
    <row r="355" spans="1:19" s="181" customFormat="1" ht="10.199999999999999" x14ac:dyDescent="0.2">
      <c r="A355" s="237"/>
      <c r="B355" s="244"/>
      <c r="C355" s="244"/>
      <c r="D355" s="244"/>
      <c r="E355" s="236"/>
      <c r="F355" s="236"/>
      <c r="G355" s="244"/>
      <c r="H355" s="244"/>
      <c r="I355" s="244"/>
      <c r="J355" s="244"/>
      <c r="K355" s="238"/>
      <c r="L355" s="238"/>
      <c r="M355" s="199" t="s">
        <v>44</v>
      </c>
      <c r="N355" s="242"/>
      <c r="O355" s="242"/>
      <c r="P355" s="238"/>
      <c r="Q355" s="244"/>
      <c r="R355" s="174"/>
      <c r="S355" s="249"/>
    </row>
    <row r="356" spans="1:19" s="181" customFormat="1" ht="10.199999999999999" x14ac:dyDescent="0.2">
      <c r="A356" s="237"/>
      <c r="B356" s="244"/>
      <c r="C356" s="244"/>
      <c r="D356" s="244"/>
      <c r="E356" s="236"/>
      <c r="F356" s="236"/>
      <c r="G356" s="244"/>
      <c r="H356" s="244"/>
      <c r="I356" s="244"/>
      <c r="J356" s="244"/>
      <c r="K356" s="238"/>
      <c r="L356" s="238"/>
      <c r="M356" s="199" t="s">
        <v>45</v>
      </c>
      <c r="N356" s="242"/>
      <c r="O356" s="242"/>
      <c r="P356" s="238"/>
      <c r="Q356" s="244"/>
      <c r="R356" s="174"/>
      <c r="S356" s="249"/>
    </row>
    <row r="357" spans="1:19" s="181" customFormat="1" ht="10.199999999999999" x14ac:dyDescent="0.2">
      <c r="A357" s="237"/>
      <c r="B357" s="244"/>
      <c r="C357" s="244"/>
      <c r="D357" s="244"/>
      <c r="E357" s="236"/>
      <c r="F357" s="236"/>
      <c r="G357" s="244"/>
      <c r="H357" s="244"/>
      <c r="I357" s="244"/>
      <c r="J357" s="244"/>
      <c r="K357" s="238"/>
      <c r="L357" s="238"/>
      <c r="M357" s="199" t="s">
        <v>46</v>
      </c>
      <c r="N357" s="242"/>
      <c r="O357" s="242"/>
      <c r="P357" s="238"/>
      <c r="Q357" s="244"/>
      <c r="R357" s="174"/>
      <c r="S357" s="249"/>
    </row>
    <row r="358" spans="1:19" s="181" customFormat="1" ht="10.199999999999999" x14ac:dyDescent="0.2">
      <c r="A358" s="237"/>
      <c r="B358" s="244"/>
      <c r="C358" s="244"/>
      <c r="D358" s="244"/>
      <c r="E358" s="236"/>
      <c r="F358" s="236"/>
      <c r="G358" s="244"/>
      <c r="H358" s="244"/>
      <c r="I358" s="244"/>
      <c r="J358" s="244"/>
      <c r="K358" s="238"/>
      <c r="L358" s="238"/>
      <c r="M358" s="211" t="s">
        <v>1245</v>
      </c>
      <c r="N358" s="195">
        <v>122.78</v>
      </c>
      <c r="O358" s="195">
        <v>122.78</v>
      </c>
      <c r="P358" s="238"/>
      <c r="Q358" s="244"/>
      <c r="R358" s="174"/>
      <c r="S358" s="249"/>
    </row>
    <row r="359" spans="1:19" s="181" customFormat="1" ht="10.199999999999999" x14ac:dyDescent="0.2">
      <c r="A359" s="237">
        <f>A353+1</f>
        <v>58</v>
      </c>
      <c r="B359" s="243">
        <v>43101</v>
      </c>
      <c r="C359" s="243">
        <v>44926</v>
      </c>
      <c r="D359" s="236" t="s">
        <v>122</v>
      </c>
      <c r="E359" s="236" t="s">
        <v>958</v>
      </c>
      <c r="F359" s="236" t="s">
        <v>957</v>
      </c>
      <c r="G359" s="236" t="s">
        <v>124</v>
      </c>
      <c r="H359" s="236" t="s">
        <v>1010</v>
      </c>
      <c r="I359" s="236" t="s">
        <v>116</v>
      </c>
      <c r="J359" s="236">
        <v>11.9</v>
      </c>
      <c r="K359" s="238">
        <f>S359*9</f>
        <v>4472.4959999999992</v>
      </c>
      <c r="L359" s="238">
        <f>S359*3</f>
        <v>1490.8319999999999</v>
      </c>
      <c r="M359" s="199" t="s">
        <v>42</v>
      </c>
      <c r="N359" s="241" t="s">
        <v>1188</v>
      </c>
      <c r="O359" s="242"/>
      <c r="P359" s="241" t="s">
        <v>1274</v>
      </c>
      <c r="Q359" s="237"/>
      <c r="R359" s="174"/>
      <c r="S359" s="245">
        <f>14.5*J359*1*(1+0.5+0.9)*1.2</f>
        <v>496.94399999999996</v>
      </c>
    </row>
    <row r="360" spans="1:19" s="181" customFormat="1" ht="20.399999999999999" x14ac:dyDescent="0.2">
      <c r="A360" s="237"/>
      <c r="B360" s="244"/>
      <c r="C360" s="244"/>
      <c r="D360" s="244"/>
      <c r="E360" s="236"/>
      <c r="F360" s="236"/>
      <c r="G360" s="236"/>
      <c r="H360" s="244"/>
      <c r="I360" s="244"/>
      <c r="J360" s="244"/>
      <c r="K360" s="238"/>
      <c r="L360" s="238"/>
      <c r="M360" s="199" t="s">
        <v>43</v>
      </c>
      <c r="N360" s="242"/>
      <c r="O360" s="242"/>
      <c r="P360" s="241"/>
      <c r="Q360" s="237"/>
      <c r="R360" s="174"/>
      <c r="S360" s="249"/>
    </row>
    <row r="361" spans="1:19" s="181" customFormat="1" ht="10.199999999999999" x14ac:dyDescent="0.2">
      <c r="A361" s="237"/>
      <c r="B361" s="244"/>
      <c r="C361" s="244"/>
      <c r="D361" s="244"/>
      <c r="E361" s="236"/>
      <c r="F361" s="236"/>
      <c r="G361" s="236"/>
      <c r="H361" s="244"/>
      <c r="I361" s="244"/>
      <c r="J361" s="244"/>
      <c r="K361" s="238"/>
      <c r="L361" s="238"/>
      <c r="M361" s="199" t="s">
        <v>44</v>
      </c>
      <c r="N361" s="242"/>
      <c r="O361" s="242"/>
      <c r="P361" s="241"/>
      <c r="Q361" s="237"/>
      <c r="R361" s="174"/>
      <c r="S361" s="249"/>
    </row>
    <row r="362" spans="1:19" s="181" customFormat="1" ht="10.199999999999999" x14ac:dyDescent="0.2">
      <c r="A362" s="237"/>
      <c r="B362" s="244"/>
      <c r="C362" s="244"/>
      <c r="D362" s="244"/>
      <c r="E362" s="236"/>
      <c r="F362" s="236"/>
      <c r="G362" s="236"/>
      <c r="H362" s="244"/>
      <c r="I362" s="244"/>
      <c r="J362" s="244"/>
      <c r="K362" s="238"/>
      <c r="L362" s="238"/>
      <c r="M362" s="199" t="s">
        <v>45</v>
      </c>
      <c r="N362" s="242"/>
      <c r="O362" s="242"/>
      <c r="P362" s="241"/>
      <c r="Q362" s="237"/>
      <c r="R362" s="174"/>
      <c r="S362" s="249"/>
    </row>
    <row r="363" spans="1:19" s="181" customFormat="1" ht="10.199999999999999" x14ac:dyDescent="0.2">
      <c r="A363" s="237"/>
      <c r="B363" s="244"/>
      <c r="C363" s="244"/>
      <c r="D363" s="244"/>
      <c r="E363" s="236"/>
      <c r="F363" s="236"/>
      <c r="G363" s="236"/>
      <c r="H363" s="244"/>
      <c r="I363" s="244"/>
      <c r="J363" s="244"/>
      <c r="K363" s="238"/>
      <c r="L363" s="238"/>
      <c r="M363" s="199" t="s">
        <v>46</v>
      </c>
      <c r="N363" s="242"/>
      <c r="O363" s="242"/>
      <c r="P363" s="241"/>
      <c r="Q363" s="237"/>
      <c r="R363" s="174"/>
      <c r="S363" s="249"/>
    </row>
    <row r="364" spans="1:19" s="181" customFormat="1" ht="10.199999999999999" x14ac:dyDescent="0.2">
      <c r="A364" s="237"/>
      <c r="B364" s="244"/>
      <c r="C364" s="244"/>
      <c r="D364" s="244"/>
      <c r="E364" s="236"/>
      <c r="F364" s="236"/>
      <c r="G364" s="236"/>
      <c r="H364" s="244"/>
      <c r="I364" s="244"/>
      <c r="J364" s="244"/>
      <c r="K364" s="238"/>
      <c r="L364" s="238"/>
      <c r="M364" s="211" t="s">
        <v>1245</v>
      </c>
      <c r="N364" s="195">
        <v>20.36</v>
      </c>
      <c r="O364" s="195">
        <v>20.36</v>
      </c>
      <c r="P364" s="241"/>
      <c r="Q364" s="237"/>
      <c r="R364" s="174"/>
      <c r="S364" s="249"/>
    </row>
    <row r="365" spans="1:19" s="181" customFormat="1" ht="10.199999999999999" x14ac:dyDescent="0.2">
      <c r="A365" s="237">
        <f>A359+1</f>
        <v>59</v>
      </c>
      <c r="B365" s="243">
        <v>43066</v>
      </c>
      <c r="C365" s="243">
        <v>44891</v>
      </c>
      <c r="D365" s="236" t="s">
        <v>126</v>
      </c>
      <c r="E365" s="236" t="s">
        <v>958</v>
      </c>
      <c r="F365" s="236" t="s">
        <v>957</v>
      </c>
      <c r="G365" s="236" t="s">
        <v>128</v>
      </c>
      <c r="H365" s="236" t="s">
        <v>1011</v>
      </c>
      <c r="I365" s="236" t="s">
        <v>132</v>
      </c>
      <c r="J365" s="236">
        <v>49.8</v>
      </c>
      <c r="K365" s="238">
        <f>S365*9</f>
        <v>2105.6435999999999</v>
      </c>
      <c r="L365" s="238">
        <f>S365*3</f>
        <v>701.88120000000004</v>
      </c>
      <c r="M365" s="199" t="s">
        <v>42</v>
      </c>
      <c r="N365" s="241" t="s">
        <v>1142</v>
      </c>
      <c r="O365" s="242"/>
      <c r="P365" s="241" t="s">
        <v>128</v>
      </c>
      <c r="Q365" s="237"/>
      <c r="R365" s="174"/>
      <c r="S365" s="245">
        <f>14.5*J365*1.2*(1+1.2+0.5)*0.1</f>
        <v>233.96039999999999</v>
      </c>
    </row>
    <row r="366" spans="1:19" s="181" customFormat="1" ht="20.399999999999999" x14ac:dyDescent="0.2">
      <c r="A366" s="237"/>
      <c r="B366" s="244"/>
      <c r="C366" s="244"/>
      <c r="D366" s="244"/>
      <c r="E366" s="236"/>
      <c r="F366" s="236"/>
      <c r="G366" s="244"/>
      <c r="H366" s="244"/>
      <c r="I366" s="244"/>
      <c r="J366" s="244"/>
      <c r="K366" s="238"/>
      <c r="L366" s="238"/>
      <c r="M366" s="199" t="s">
        <v>43</v>
      </c>
      <c r="N366" s="242"/>
      <c r="O366" s="242"/>
      <c r="P366" s="238"/>
      <c r="Q366" s="237"/>
      <c r="R366" s="174"/>
      <c r="S366" s="249"/>
    </row>
    <row r="367" spans="1:19" s="181" customFormat="1" ht="10.199999999999999" x14ac:dyDescent="0.2">
      <c r="A367" s="237"/>
      <c r="B367" s="244"/>
      <c r="C367" s="244"/>
      <c r="D367" s="244"/>
      <c r="E367" s="236"/>
      <c r="F367" s="236"/>
      <c r="G367" s="244"/>
      <c r="H367" s="244"/>
      <c r="I367" s="244"/>
      <c r="J367" s="244"/>
      <c r="K367" s="238"/>
      <c r="L367" s="238"/>
      <c r="M367" s="199" t="s">
        <v>44</v>
      </c>
      <c r="N367" s="242"/>
      <c r="O367" s="242"/>
      <c r="P367" s="238"/>
      <c r="Q367" s="237"/>
      <c r="R367" s="174"/>
      <c r="S367" s="249"/>
    </row>
    <row r="368" spans="1:19" s="181" customFormat="1" ht="10.199999999999999" x14ac:dyDescent="0.2">
      <c r="A368" s="237"/>
      <c r="B368" s="244"/>
      <c r="C368" s="244"/>
      <c r="D368" s="244"/>
      <c r="E368" s="236"/>
      <c r="F368" s="236"/>
      <c r="G368" s="244"/>
      <c r="H368" s="244"/>
      <c r="I368" s="244"/>
      <c r="J368" s="244"/>
      <c r="K368" s="238"/>
      <c r="L368" s="238"/>
      <c r="M368" s="199" t="s">
        <v>45</v>
      </c>
      <c r="N368" s="242"/>
      <c r="O368" s="242"/>
      <c r="P368" s="238"/>
      <c r="Q368" s="237"/>
      <c r="R368" s="174"/>
      <c r="S368" s="249"/>
    </row>
    <row r="369" spans="1:19" s="181" customFormat="1" ht="10.199999999999999" x14ac:dyDescent="0.2">
      <c r="A369" s="237"/>
      <c r="B369" s="244"/>
      <c r="C369" s="244"/>
      <c r="D369" s="244"/>
      <c r="E369" s="236"/>
      <c r="F369" s="236"/>
      <c r="G369" s="244"/>
      <c r="H369" s="244"/>
      <c r="I369" s="244"/>
      <c r="J369" s="244"/>
      <c r="K369" s="238"/>
      <c r="L369" s="238"/>
      <c r="M369" s="199" t="s">
        <v>46</v>
      </c>
      <c r="N369" s="242"/>
      <c r="O369" s="242"/>
      <c r="P369" s="238"/>
      <c r="Q369" s="237"/>
      <c r="R369" s="174"/>
      <c r="S369" s="249"/>
    </row>
    <row r="370" spans="1:19" s="181" customFormat="1" ht="10.199999999999999" x14ac:dyDescent="0.2">
      <c r="A370" s="237"/>
      <c r="B370" s="244"/>
      <c r="C370" s="244"/>
      <c r="D370" s="244"/>
      <c r="E370" s="236"/>
      <c r="F370" s="236"/>
      <c r="G370" s="244"/>
      <c r="H370" s="244"/>
      <c r="I370" s="244"/>
      <c r="J370" s="244"/>
      <c r="K370" s="238"/>
      <c r="L370" s="238"/>
      <c r="M370" s="211" t="s">
        <v>1245</v>
      </c>
      <c r="N370" s="195">
        <v>406.4</v>
      </c>
      <c r="O370" s="195">
        <v>59.66</v>
      </c>
      <c r="P370" s="238"/>
      <c r="Q370" s="237"/>
      <c r="R370" s="174"/>
      <c r="S370" s="249"/>
    </row>
    <row r="371" spans="1:19" s="181" customFormat="1" ht="10.199999999999999" x14ac:dyDescent="0.2">
      <c r="A371" s="237">
        <f>A365+1</f>
        <v>60</v>
      </c>
      <c r="B371" s="243">
        <v>39965</v>
      </c>
      <c r="C371" s="243">
        <v>49096</v>
      </c>
      <c r="D371" s="236" t="s">
        <v>133</v>
      </c>
      <c r="E371" s="236" t="s">
        <v>958</v>
      </c>
      <c r="F371" s="236" t="s">
        <v>957</v>
      </c>
      <c r="G371" s="236" t="s">
        <v>134</v>
      </c>
      <c r="H371" s="236" t="s">
        <v>1012</v>
      </c>
      <c r="I371" s="236" t="s">
        <v>132</v>
      </c>
      <c r="J371" s="236">
        <v>35.1</v>
      </c>
      <c r="K371" s="238">
        <f>S371*9</f>
        <v>1484.0982000000004</v>
      </c>
      <c r="L371" s="238">
        <f>S371*3</f>
        <v>494.69940000000008</v>
      </c>
      <c r="M371" s="199" t="s">
        <v>42</v>
      </c>
      <c r="N371" s="241" t="s">
        <v>1177</v>
      </c>
      <c r="O371" s="242"/>
      <c r="P371" s="241" t="s">
        <v>134</v>
      </c>
      <c r="Q371" s="237"/>
      <c r="R371" s="174"/>
      <c r="S371" s="245">
        <f>14.5*J371*1.2*(1+1.2+0.5)*0.1</f>
        <v>164.89980000000003</v>
      </c>
    </row>
    <row r="372" spans="1:19" s="181" customFormat="1" ht="20.399999999999999" x14ac:dyDescent="0.2">
      <c r="A372" s="237"/>
      <c r="B372" s="244"/>
      <c r="C372" s="244"/>
      <c r="D372" s="244"/>
      <c r="E372" s="236"/>
      <c r="F372" s="236"/>
      <c r="G372" s="244"/>
      <c r="H372" s="244"/>
      <c r="I372" s="244"/>
      <c r="J372" s="244"/>
      <c r="K372" s="238"/>
      <c r="L372" s="238"/>
      <c r="M372" s="199" t="s">
        <v>43</v>
      </c>
      <c r="N372" s="242"/>
      <c r="O372" s="242"/>
      <c r="P372" s="238"/>
      <c r="Q372" s="237"/>
      <c r="R372" s="174"/>
      <c r="S372" s="249"/>
    </row>
    <row r="373" spans="1:19" s="181" customFormat="1" ht="10.199999999999999" x14ac:dyDescent="0.2">
      <c r="A373" s="237"/>
      <c r="B373" s="244"/>
      <c r="C373" s="244"/>
      <c r="D373" s="244"/>
      <c r="E373" s="236"/>
      <c r="F373" s="236"/>
      <c r="G373" s="244"/>
      <c r="H373" s="244"/>
      <c r="I373" s="244"/>
      <c r="J373" s="244"/>
      <c r="K373" s="238"/>
      <c r="L373" s="238"/>
      <c r="M373" s="199" t="s">
        <v>44</v>
      </c>
      <c r="N373" s="242"/>
      <c r="O373" s="242"/>
      <c r="P373" s="238"/>
      <c r="Q373" s="237"/>
      <c r="R373" s="174"/>
      <c r="S373" s="249"/>
    </row>
    <row r="374" spans="1:19" s="181" customFormat="1" ht="10.199999999999999" x14ac:dyDescent="0.2">
      <c r="A374" s="237"/>
      <c r="B374" s="244"/>
      <c r="C374" s="244"/>
      <c r="D374" s="244"/>
      <c r="E374" s="236"/>
      <c r="F374" s="236"/>
      <c r="G374" s="244"/>
      <c r="H374" s="244"/>
      <c r="I374" s="244"/>
      <c r="J374" s="244"/>
      <c r="K374" s="238"/>
      <c r="L374" s="238"/>
      <c r="M374" s="199" t="s">
        <v>45</v>
      </c>
      <c r="N374" s="242"/>
      <c r="O374" s="242"/>
      <c r="P374" s="238"/>
      <c r="Q374" s="237"/>
      <c r="R374" s="174"/>
      <c r="S374" s="249"/>
    </row>
    <row r="375" spans="1:19" s="181" customFormat="1" ht="10.199999999999999" x14ac:dyDescent="0.2">
      <c r="A375" s="237"/>
      <c r="B375" s="244"/>
      <c r="C375" s="244"/>
      <c r="D375" s="244"/>
      <c r="E375" s="236"/>
      <c r="F375" s="236"/>
      <c r="G375" s="244"/>
      <c r="H375" s="244"/>
      <c r="I375" s="244"/>
      <c r="J375" s="244"/>
      <c r="K375" s="238"/>
      <c r="L375" s="238"/>
      <c r="M375" s="199" t="s">
        <v>46</v>
      </c>
      <c r="N375" s="242"/>
      <c r="O375" s="242"/>
      <c r="P375" s="238"/>
      <c r="Q375" s="237"/>
      <c r="R375" s="174"/>
      <c r="S375" s="249"/>
    </row>
    <row r="376" spans="1:19" s="181" customFormat="1" ht="10.199999999999999" x14ac:dyDescent="0.2">
      <c r="A376" s="237"/>
      <c r="B376" s="244"/>
      <c r="C376" s="244"/>
      <c r="D376" s="244"/>
      <c r="E376" s="236"/>
      <c r="F376" s="236"/>
      <c r="G376" s="244"/>
      <c r="H376" s="244"/>
      <c r="I376" s="244"/>
      <c r="J376" s="244"/>
      <c r="K376" s="238"/>
      <c r="L376" s="238"/>
      <c r="M376" s="211" t="s">
        <v>1245</v>
      </c>
      <c r="N376" s="195">
        <v>593.29999999999995</v>
      </c>
      <c r="O376" s="195">
        <v>82.53</v>
      </c>
      <c r="P376" s="238"/>
      <c r="Q376" s="237"/>
      <c r="R376" s="174"/>
      <c r="S376" s="249"/>
    </row>
    <row r="377" spans="1:19" s="181" customFormat="1" ht="10.199999999999999" x14ac:dyDescent="0.2">
      <c r="A377" s="237">
        <f>A371+1</f>
        <v>61</v>
      </c>
      <c r="B377" s="259">
        <v>43101</v>
      </c>
      <c r="C377" s="259">
        <v>44926</v>
      </c>
      <c r="D377" s="236" t="s">
        <v>154</v>
      </c>
      <c r="E377" s="236" t="s">
        <v>958</v>
      </c>
      <c r="F377" s="236" t="s">
        <v>957</v>
      </c>
      <c r="G377" s="236" t="s">
        <v>156</v>
      </c>
      <c r="H377" s="236" t="s">
        <v>1013</v>
      </c>
      <c r="I377" s="236" t="s">
        <v>159</v>
      </c>
      <c r="J377" s="236">
        <v>92</v>
      </c>
      <c r="K377" s="238">
        <f>S377*9</f>
        <v>3169.5840000000003</v>
      </c>
      <c r="L377" s="238">
        <f>S377*3</f>
        <v>1056.5280000000002</v>
      </c>
      <c r="M377" s="199" t="s">
        <v>42</v>
      </c>
      <c r="N377" s="241" t="s">
        <v>1142</v>
      </c>
      <c r="O377" s="242"/>
      <c r="P377" s="241" t="s">
        <v>156</v>
      </c>
      <c r="Q377" s="237"/>
      <c r="R377" s="174"/>
      <c r="S377" s="245">
        <f>14.5*J377*1.2*(1+0.1+1.1)*0.1</f>
        <v>352.17600000000004</v>
      </c>
    </row>
    <row r="378" spans="1:19" s="181" customFormat="1" ht="20.399999999999999" x14ac:dyDescent="0.2">
      <c r="A378" s="237"/>
      <c r="B378" s="236"/>
      <c r="C378" s="244"/>
      <c r="D378" s="244"/>
      <c r="E378" s="236"/>
      <c r="F378" s="236"/>
      <c r="G378" s="244"/>
      <c r="H378" s="244"/>
      <c r="I378" s="244"/>
      <c r="J378" s="244"/>
      <c r="K378" s="238"/>
      <c r="L378" s="238"/>
      <c r="M378" s="199" t="s">
        <v>43</v>
      </c>
      <c r="N378" s="242"/>
      <c r="O378" s="242"/>
      <c r="P378" s="238"/>
      <c r="Q378" s="237"/>
      <c r="R378" s="174"/>
      <c r="S378" s="249"/>
    </row>
    <row r="379" spans="1:19" s="181" customFormat="1" ht="10.199999999999999" x14ac:dyDescent="0.2">
      <c r="A379" s="237"/>
      <c r="B379" s="236"/>
      <c r="C379" s="244"/>
      <c r="D379" s="244"/>
      <c r="E379" s="236"/>
      <c r="F379" s="236"/>
      <c r="G379" s="244"/>
      <c r="H379" s="244"/>
      <c r="I379" s="244"/>
      <c r="J379" s="244"/>
      <c r="K379" s="238"/>
      <c r="L379" s="238"/>
      <c r="M379" s="199" t="s">
        <v>44</v>
      </c>
      <c r="N379" s="242"/>
      <c r="O379" s="242"/>
      <c r="P379" s="238"/>
      <c r="Q379" s="237"/>
      <c r="R379" s="174"/>
      <c r="S379" s="249"/>
    </row>
    <row r="380" spans="1:19" s="181" customFormat="1" ht="10.199999999999999" x14ac:dyDescent="0.2">
      <c r="A380" s="237"/>
      <c r="B380" s="236"/>
      <c r="C380" s="244"/>
      <c r="D380" s="244"/>
      <c r="E380" s="236"/>
      <c r="F380" s="236"/>
      <c r="G380" s="244"/>
      <c r="H380" s="244"/>
      <c r="I380" s="244"/>
      <c r="J380" s="244"/>
      <c r="K380" s="238"/>
      <c r="L380" s="238"/>
      <c r="M380" s="199" t="s">
        <v>45</v>
      </c>
      <c r="N380" s="242"/>
      <c r="O380" s="242"/>
      <c r="P380" s="238"/>
      <c r="Q380" s="237"/>
      <c r="R380" s="174"/>
      <c r="S380" s="249"/>
    </row>
    <row r="381" spans="1:19" s="181" customFormat="1" ht="10.199999999999999" x14ac:dyDescent="0.2">
      <c r="A381" s="237"/>
      <c r="B381" s="236"/>
      <c r="C381" s="244"/>
      <c r="D381" s="244"/>
      <c r="E381" s="236"/>
      <c r="F381" s="236"/>
      <c r="G381" s="244"/>
      <c r="H381" s="244"/>
      <c r="I381" s="244"/>
      <c r="J381" s="244"/>
      <c r="K381" s="238"/>
      <c r="L381" s="238"/>
      <c r="M381" s="199" t="s">
        <v>46</v>
      </c>
      <c r="N381" s="242"/>
      <c r="O381" s="242"/>
      <c r="P381" s="238"/>
      <c r="Q381" s="237"/>
      <c r="R381" s="174"/>
      <c r="S381" s="249"/>
    </row>
    <row r="382" spans="1:19" s="181" customFormat="1" ht="10.199999999999999" x14ac:dyDescent="0.2">
      <c r="A382" s="237"/>
      <c r="B382" s="236"/>
      <c r="C382" s="244"/>
      <c r="D382" s="244"/>
      <c r="E382" s="236"/>
      <c r="F382" s="236"/>
      <c r="G382" s="244"/>
      <c r="H382" s="244"/>
      <c r="I382" s="244"/>
      <c r="J382" s="244"/>
      <c r="K382" s="238"/>
      <c r="L382" s="238"/>
      <c r="M382" s="211" t="s">
        <v>1245</v>
      </c>
      <c r="N382" s="195">
        <v>247.02</v>
      </c>
      <c r="O382" s="195">
        <v>247.02</v>
      </c>
      <c r="P382" s="238"/>
      <c r="Q382" s="237"/>
      <c r="R382" s="174"/>
      <c r="S382" s="249"/>
    </row>
    <row r="383" spans="1:19" s="181" customFormat="1" ht="10.199999999999999" x14ac:dyDescent="0.2">
      <c r="A383" s="237">
        <f>A377+1</f>
        <v>62</v>
      </c>
      <c r="B383" s="259">
        <v>43320</v>
      </c>
      <c r="C383" s="259">
        <v>45145</v>
      </c>
      <c r="D383" s="236" t="s">
        <v>1252</v>
      </c>
      <c r="E383" s="236" t="s">
        <v>958</v>
      </c>
      <c r="F383" s="236" t="s">
        <v>957</v>
      </c>
      <c r="G383" s="236" t="s">
        <v>246</v>
      </c>
      <c r="H383" s="236" t="s">
        <v>1215</v>
      </c>
      <c r="I383" s="236" t="s">
        <v>249</v>
      </c>
      <c r="J383" s="236">
        <v>10.4</v>
      </c>
      <c r="K383" s="238">
        <f>S383*9</f>
        <v>271.44000000000005</v>
      </c>
      <c r="L383" s="238">
        <f>S383*3</f>
        <v>90.480000000000018</v>
      </c>
      <c r="M383" s="199" t="s">
        <v>42</v>
      </c>
      <c r="N383" s="241" t="s">
        <v>1197</v>
      </c>
      <c r="O383" s="236"/>
      <c r="P383" s="284"/>
      <c r="Q383" s="236" t="s">
        <v>1256</v>
      </c>
      <c r="R383" s="174"/>
      <c r="S383" s="245">
        <f>14.5*J383*1*(1+0.1+0.9)*0.1</f>
        <v>30.160000000000004</v>
      </c>
    </row>
    <row r="384" spans="1:19" s="181" customFormat="1" ht="20.399999999999999" x14ac:dyDescent="0.2">
      <c r="A384" s="237"/>
      <c r="B384" s="236"/>
      <c r="C384" s="236"/>
      <c r="D384" s="244"/>
      <c r="E384" s="236"/>
      <c r="F384" s="236"/>
      <c r="G384" s="244"/>
      <c r="H384" s="244"/>
      <c r="I384" s="244"/>
      <c r="J384" s="244"/>
      <c r="K384" s="238"/>
      <c r="L384" s="238"/>
      <c r="M384" s="199" t="s">
        <v>43</v>
      </c>
      <c r="N384" s="236"/>
      <c r="O384" s="236"/>
      <c r="P384" s="284"/>
      <c r="Q384" s="236"/>
      <c r="R384" s="174"/>
      <c r="S384" s="249"/>
    </row>
    <row r="385" spans="1:19" s="181" customFormat="1" ht="10.199999999999999" x14ac:dyDescent="0.2">
      <c r="A385" s="237"/>
      <c r="B385" s="236"/>
      <c r="C385" s="236"/>
      <c r="D385" s="244"/>
      <c r="E385" s="236"/>
      <c r="F385" s="236"/>
      <c r="G385" s="244"/>
      <c r="H385" s="244"/>
      <c r="I385" s="244"/>
      <c r="J385" s="244"/>
      <c r="K385" s="238"/>
      <c r="L385" s="238"/>
      <c r="M385" s="199" t="s">
        <v>44</v>
      </c>
      <c r="N385" s="236"/>
      <c r="O385" s="236"/>
      <c r="P385" s="284"/>
      <c r="Q385" s="236"/>
      <c r="R385" s="174"/>
      <c r="S385" s="249"/>
    </row>
    <row r="386" spans="1:19" s="181" customFormat="1" ht="10.199999999999999" x14ac:dyDescent="0.2">
      <c r="A386" s="237"/>
      <c r="B386" s="236"/>
      <c r="C386" s="236"/>
      <c r="D386" s="244"/>
      <c r="E386" s="236"/>
      <c r="F386" s="236"/>
      <c r="G386" s="244"/>
      <c r="H386" s="244"/>
      <c r="I386" s="244"/>
      <c r="J386" s="244"/>
      <c r="K386" s="238"/>
      <c r="L386" s="238"/>
      <c r="M386" s="199" t="s">
        <v>45</v>
      </c>
      <c r="N386" s="236"/>
      <c r="O386" s="236"/>
      <c r="P386" s="284"/>
      <c r="Q386" s="236"/>
      <c r="R386" s="174"/>
      <c r="S386" s="249"/>
    </row>
    <row r="387" spans="1:19" s="181" customFormat="1" ht="10.199999999999999" x14ac:dyDescent="0.2">
      <c r="A387" s="237"/>
      <c r="B387" s="236"/>
      <c r="C387" s="236"/>
      <c r="D387" s="244"/>
      <c r="E387" s="236"/>
      <c r="F387" s="236"/>
      <c r="G387" s="244"/>
      <c r="H387" s="244"/>
      <c r="I387" s="244"/>
      <c r="J387" s="244"/>
      <c r="K387" s="238"/>
      <c r="L387" s="238"/>
      <c r="M387" s="199" t="s">
        <v>46</v>
      </c>
      <c r="N387" s="236"/>
      <c r="O387" s="236"/>
      <c r="P387" s="284"/>
      <c r="Q387" s="236"/>
      <c r="R387" s="174"/>
      <c r="S387" s="249"/>
    </row>
    <row r="388" spans="1:19" s="181" customFormat="1" ht="20.399999999999999" x14ac:dyDescent="0.2">
      <c r="A388" s="237"/>
      <c r="B388" s="236"/>
      <c r="C388" s="236"/>
      <c r="D388" s="244"/>
      <c r="E388" s="236"/>
      <c r="F388" s="236"/>
      <c r="G388" s="244"/>
      <c r="H388" s="244"/>
      <c r="I388" s="244"/>
      <c r="J388" s="244"/>
      <c r="K388" s="238"/>
      <c r="L388" s="238"/>
      <c r="M388" s="211" t="s">
        <v>1245</v>
      </c>
      <c r="N388" s="195">
        <v>120.7</v>
      </c>
      <c r="O388" s="195">
        <v>120.7</v>
      </c>
      <c r="P388" s="195" t="s">
        <v>246</v>
      </c>
      <c r="Q388" s="236"/>
      <c r="R388" s="174"/>
      <c r="S388" s="249"/>
    </row>
    <row r="389" spans="1:19" s="181" customFormat="1" ht="10.199999999999999" x14ac:dyDescent="0.2">
      <c r="A389" s="237">
        <f>A383+1</f>
        <v>63</v>
      </c>
      <c r="B389" s="270">
        <v>43181</v>
      </c>
      <c r="C389" s="259">
        <v>45006</v>
      </c>
      <c r="D389" s="236" t="s">
        <v>278</v>
      </c>
      <c r="E389" s="236" t="s">
        <v>958</v>
      </c>
      <c r="F389" s="236" t="s">
        <v>957</v>
      </c>
      <c r="G389" s="236" t="s">
        <v>279</v>
      </c>
      <c r="H389" s="236" t="s">
        <v>1014</v>
      </c>
      <c r="I389" s="236" t="s">
        <v>282</v>
      </c>
      <c r="J389" s="236">
        <v>28.05</v>
      </c>
      <c r="K389" s="238">
        <f>S389*9</f>
        <v>732.10500000000013</v>
      </c>
      <c r="L389" s="238">
        <f>S389*3</f>
        <v>244.03500000000003</v>
      </c>
      <c r="M389" s="199" t="s">
        <v>42</v>
      </c>
      <c r="N389" s="241" t="s">
        <v>1197</v>
      </c>
      <c r="O389" s="241"/>
      <c r="P389" s="238"/>
      <c r="Q389" s="236" t="s">
        <v>1261</v>
      </c>
      <c r="R389" s="174"/>
      <c r="S389" s="245">
        <f>14.5*J389*1*(1+0.1+0.9)*0.1</f>
        <v>81.345000000000013</v>
      </c>
    </row>
    <row r="390" spans="1:19" s="181" customFormat="1" ht="20.399999999999999" x14ac:dyDescent="0.2">
      <c r="A390" s="237"/>
      <c r="B390" s="237"/>
      <c r="C390" s="244"/>
      <c r="D390" s="244"/>
      <c r="E390" s="236"/>
      <c r="F390" s="244"/>
      <c r="G390" s="244"/>
      <c r="H390" s="244"/>
      <c r="I390" s="244"/>
      <c r="J390" s="244"/>
      <c r="K390" s="238"/>
      <c r="L390" s="238"/>
      <c r="M390" s="199" t="s">
        <v>43</v>
      </c>
      <c r="N390" s="241"/>
      <c r="O390" s="241"/>
      <c r="P390" s="238"/>
      <c r="Q390" s="236"/>
      <c r="R390" s="174"/>
      <c r="S390" s="249"/>
    </row>
    <row r="391" spans="1:19" s="181" customFormat="1" ht="10.199999999999999" x14ac:dyDescent="0.2">
      <c r="A391" s="237"/>
      <c r="B391" s="237"/>
      <c r="C391" s="244"/>
      <c r="D391" s="244"/>
      <c r="E391" s="236"/>
      <c r="F391" s="244"/>
      <c r="G391" s="244"/>
      <c r="H391" s="244"/>
      <c r="I391" s="244"/>
      <c r="J391" s="244"/>
      <c r="K391" s="238"/>
      <c r="L391" s="238"/>
      <c r="M391" s="199" t="s">
        <v>44</v>
      </c>
      <c r="N391" s="241"/>
      <c r="O391" s="241"/>
      <c r="P391" s="238"/>
      <c r="Q391" s="236"/>
      <c r="R391" s="174"/>
      <c r="S391" s="249"/>
    </row>
    <row r="392" spans="1:19" s="181" customFormat="1" ht="10.199999999999999" x14ac:dyDescent="0.2">
      <c r="A392" s="237"/>
      <c r="B392" s="237"/>
      <c r="C392" s="244"/>
      <c r="D392" s="244"/>
      <c r="E392" s="236"/>
      <c r="F392" s="244"/>
      <c r="G392" s="244"/>
      <c r="H392" s="244"/>
      <c r="I392" s="244"/>
      <c r="J392" s="244"/>
      <c r="K392" s="238"/>
      <c r="L392" s="238"/>
      <c r="M392" s="199" t="s">
        <v>45</v>
      </c>
      <c r="N392" s="241"/>
      <c r="O392" s="241"/>
      <c r="P392" s="238"/>
      <c r="Q392" s="236"/>
      <c r="R392" s="174"/>
      <c r="S392" s="249"/>
    </row>
    <row r="393" spans="1:19" s="181" customFormat="1" ht="10.199999999999999" x14ac:dyDescent="0.2">
      <c r="A393" s="237"/>
      <c r="B393" s="237"/>
      <c r="C393" s="244"/>
      <c r="D393" s="244"/>
      <c r="E393" s="236"/>
      <c r="F393" s="244"/>
      <c r="G393" s="244"/>
      <c r="H393" s="244"/>
      <c r="I393" s="244"/>
      <c r="J393" s="244"/>
      <c r="K393" s="238"/>
      <c r="L393" s="238"/>
      <c r="M393" s="199" t="s">
        <v>46</v>
      </c>
      <c r="N393" s="241"/>
      <c r="O393" s="241"/>
      <c r="P393" s="238"/>
      <c r="Q393" s="236"/>
      <c r="R393" s="174"/>
      <c r="S393" s="249"/>
    </row>
    <row r="394" spans="1:19" s="181" customFormat="1" ht="10.199999999999999" x14ac:dyDescent="0.2">
      <c r="A394" s="237"/>
      <c r="B394" s="237"/>
      <c r="C394" s="244"/>
      <c r="D394" s="244"/>
      <c r="E394" s="236"/>
      <c r="F394" s="244"/>
      <c r="G394" s="244"/>
      <c r="H394" s="244"/>
      <c r="I394" s="244"/>
      <c r="J394" s="244"/>
      <c r="K394" s="238"/>
      <c r="L394" s="238"/>
      <c r="M394" s="211" t="s">
        <v>1245</v>
      </c>
      <c r="N394" s="241"/>
      <c r="O394" s="241"/>
      <c r="P394" s="238"/>
      <c r="Q394" s="236"/>
      <c r="R394" s="174"/>
      <c r="S394" s="249"/>
    </row>
    <row r="395" spans="1:19" s="181" customFormat="1" ht="10.199999999999999" x14ac:dyDescent="0.2">
      <c r="A395" s="237">
        <f>A389+1</f>
        <v>64</v>
      </c>
      <c r="B395" s="259">
        <v>43894</v>
      </c>
      <c r="C395" s="259">
        <v>44926</v>
      </c>
      <c r="D395" s="247" t="s">
        <v>356</v>
      </c>
      <c r="E395" s="236" t="s">
        <v>958</v>
      </c>
      <c r="F395" s="236" t="s">
        <v>957</v>
      </c>
      <c r="G395" s="247" t="s">
        <v>357</v>
      </c>
      <c r="H395" s="247" t="s">
        <v>1016</v>
      </c>
      <c r="I395" s="247" t="s">
        <v>354</v>
      </c>
      <c r="J395" s="248">
        <v>17.600000000000001</v>
      </c>
      <c r="K395" s="238">
        <f>S395*9</f>
        <v>10252.915199999999</v>
      </c>
      <c r="L395" s="238">
        <f>S395*3</f>
        <v>3417.6383999999998</v>
      </c>
      <c r="M395" s="199" t="s">
        <v>42</v>
      </c>
      <c r="N395" s="241" t="s">
        <v>1171</v>
      </c>
      <c r="O395" s="242"/>
      <c r="P395" s="250" t="s">
        <v>357</v>
      </c>
      <c r="Q395" s="237"/>
      <c r="R395" s="174"/>
      <c r="S395" s="245">
        <f>14.5*J395*1.2*(1+1.2+0.9)*1.2</f>
        <v>1139.2128</v>
      </c>
    </row>
    <row r="396" spans="1:19" s="181" customFormat="1" ht="20.399999999999999" x14ac:dyDescent="0.2">
      <c r="A396" s="237"/>
      <c r="B396" s="257"/>
      <c r="C396" s="257"/>
      <c r="D396" s="257"/>
      <c r="E396" s="236"/>
      <c r="F396" s="257"/>
      <c r="G396" s="257"/>
      <c r="H396" s="257"/>
      <c r="I396" s="257"/>
      <c r="J396" s="257"/>
      <c r="K396" s="239"/>
      <c r="L396" s="239"/>
      <c r="M396" s="199" t="s">
        <v>43</v>
      </c>
      <c r="N396" s="242"/>
      <c r="O396" s="242"/>
      <c r="P396" s="239"/>
      <c r="Q396" s="237"/>
      <c r="R396" s="174"/>
      <c r="S396" s="258"/>
    </row>
    <row r="397" spans="1:19" s="181" customFormat="1" ht="10.199999999999999" x14ac:dyDescent="0.2">
      <c r="A397" s="237"/>
      <c r="B397" s="257"/>
      <c r="C397" s="257"/>
      <c r="D397" s="257"/>
      <c r="E397" s="236"/>
      <c r="F397" s="257"/>
      <c r="G397" s="257"/>
      <c r="H397" s="257"/>
      <c r="I397" s="257"/>
      <c r="J397" s="257"/>
      <c r="K397" s="239"/>
      <c r="L397" s="239"/>
      <c r="M397" s="199" t="s">
        <v>44</v>
      </c>
      <c r="N397" s="242"/>
      <c r="O397" s="242"/>
      <c r="P397" s="239"/>
      <c r="Q397" s="237"/>
      <c r="R397" s="174"/>
      <c r="S397" s="258"/>
    </row>
    <row r="398" spans="1:19" s="181" customFormat="1" ht="10.199999999999999" x14ac:dyDescent="0.2">
      <c r="A398" s="237"/>
      <c r="B398" s="257"/>
      <c r="C398" s="257"/>
      <c r="D398" s="257"/>
      <c r="E398" s="236"/>
      <c r="F398" s="257"/>
      <c r="G398" s="257"/>
      <c r="H398" s="257"/>
      <c r="I398" s="257"/>
      <c r="J398" s="257"/>
      <c r="K398" s="239"/>
      <c r="L398" s="239"/>
      <c r="M398" s="199" t="s">
        <v>45</v>
      </c>
      <c r="N398" s="242"/>
      <c r="O398" s="242"/>
      <c r="P398" s="239"/>
      <c r="Q398" s="237"/>
      <c r="R398" s="174"/>
      <c r="S398" s="258"/>
    </row>
    <row r="399" spans="1:19" s="181" customFormat="1" ht="10.199999999999999" x14ac:dyDescent="0.2">
      <c r="A399" s="237"/>
      <c r="B399" s="257"/>
      <c r="C399" s="257"/>
      <c r="D399" s="257"/>
      <c r="E399" s="236"/>
      <c r="F399" s="257"/>
      <c r="G399" s="257"/>
      <c r="H399" s="257"/>
      <c r="I399" s="257"/>
      <c r="J399" s="257"/>
      <c r="K399" s="239"/>
      <c r="L399" s="239"/>
      <c r="M399" s="199" t="s">
        <v>46</v>
      </c>
      <c r="N399" s="242"/>
      <c r="O399" s="242"/>
      <c r="P399" s="239"/>
      <c r="Q399" s="237"/>
      <c r="R399" s="174"/>
      <c r="S399" s="258"/>
    </row>
    <row r="400" spans="1:19" s="181" customFormat="1" ht="10.199999999999999" x14ac:dyDescent="0.2">
      <c r="A400" s="237"/>
      <c r="B400" s="257"/>
      <c r="C400" s="257"/>
      <c r="D400" s="257"/>
      <c r="E400" s="236"/>
      <c r="F400" s="257"/>
      <c r="G400" s="257"/>
      <c r="H400" s="257"/>
      <c r="I400" s="257"/>
      <c r="J400" s="257"/>
      <c r="K400" s="239"/>
      <c r="L400" s="239"/>
      <c r="M400" s="211" t="s">
        <v>1245</v>
      </c>
      <c r="N400" s="195">
        <v>34.49</v>
      </c>
      <c r="O400" s="195">
        <v>34.49</v>
      </c>
      <c r="P400" s="239"/>
      <c r="Q400" s="237"/>
      <c r="R400" s="174"/>
      <c r="S400" s="258"/>
    </row>
    <row r="401" spans="1:19" s="181" customFormat="1" ht="10.199999999999999" x14ac:dyDescent="0.2">
      <c r="A401" s="237">
        <f>A395+1</f>
        <v>65</v>
      </c>
      <c r="B401" s="259">
        <v>43921</v>
      </c>
      <c r="C401" s="259">
        <v>45015</v>
      </c>
      <c r="D401" s="236" t="s">
        <v>374</v>
      </c>
      <c r="E401" s="236" t="s">
        <v>958</v>
      </c>
      <c r="F401" s="236" t="s">
        <v>957</v>
      </c>
      <c r="G401" s="236" t="s">
        <v>376</v>
      </c>
      <c r="H401" s="236" t="s">
        <v>1248</v>
      </c>
      <c r="I401" s="236" t="s">
        <v>1168</v>
      </c>
      <c r="J401" s="236">
        <v>12.7</v>
      </c>
      <c r="K401" s="238">
        <f>S401*9</f>
        <v>96.087931555108185</v>
      </c>
      <c r="L401" s="238">
        <f>S401*3</f>
        <v>32.029310518369392</v>
      </c>
      <c r="M401" s="199" t="s">
        <v>42</v>
      </c>
      <c r="N401" s="241" t="s">
        <v>1197</v>
      </c>
      <c r="O401" s="239"/>
      <c r="P401" s="239"/>
      <c r="Q401" s="236" t="s">
        <v>1261</v>
      </c>
      <c r="R401" s="174"/>
      <c r="S401" s="245">
        <f>14.5*J401*1*(1+0.1+0.9)*1.2*12/1987*4</f>
        <v>10.676436839456464</v>
      </c>
    </row>
    <row r="402" spans="1:19" s="181" customFormat="1" ht="20.399999999999999" x14ac:dyDescent="0.2">
      <c r="A402" s="237"/>
      <c r="B402" s="257"/>
      <c r="C402" s="257"/>
      <c r="D402" s="257"/>
      <c r="E402" s="236"/>
      <c r="F402" s="257"/>
      <c r="G402" s="257"/>
      <c r="H402" s="257"/>
      <c r="I402" s="257"/>
      <c r="J402" s="257"/>
      <c r="K402" s="239"/>
      <c r="L402" s="239"/>
      <c r="M402" s="199" t="s">
        <v>43</v>
      </c>
      <c r="N402" s="239"/>
      <c r="O402" s="239"/>
      <c r="P402" s="239"/>
      <c r="Q402" s="236"/>
      <c r="R402" s="174"/>
      <c r="S402" s="258"/>
    </row>
    <row r="403" spans="1:19" s="181" customFormat="1" ht="10.199999999999999" x14ac:dyDescent="0.2">
      <c r="A403" s="237"/>
      <c r="B403" s="257"/>
      <c r="C403" s="257"/>
      <c r="D403" s="257"/>
      <c r="E403" s="236"/>
      <c r="F403" s="257"/>
      <c r="G403" s="257"/>
      <c r="H403" s="257"/>
      <c r="I403" s="257"/>
      <c r="J403" s="257"/>
      <c r="K403" s="239"/>
      <c r="L403" s="239"/>
      <c r="M403" s="199" t="s">
        <v>44</v>
      </c>
      <c r="N403" s="239"/>
      <c r="O403" s="239"/>
      <c r="P403" s="239"/>
      <c r="Q403" s="236"/>
      <c r="R403" s="174"/>
      <c r="S403" s="258"/>
    </row>
    <row r="404" spans="1:19" s="181" customFormat="1" ht="10.199999999999999" x14ac:dyDescent="0.2">
      <c r="A404" s="237"/>
      <c r="B404" s="257"/>
      <c r="C404" s="257"/>
      <c r="D404" s="257"/>
      <c r="E404" s="236"/>
      <c r="F404" s="257"/>
      <c r="G404" s="257"/>
      <c r="H404" s="257"/>
      <c r="I404" s="257"/>
      <c r="J404" s="257"/>
      <c r="K404" s="239"/>
      <c r="L404" s="239"/>
      <c r="M404" s="199" t="s">
        <v>45</v>
      </c>
      <c r="N404" s="239"/>
      <c r="O404" s="239"/>
      <c r="P404" s="239"/>
      <c r="Q404" s="236"/>
      <c r="R404" s="174"/>
      <c r="S404" s="258"/>
    </row>
    <row r="405" spans="1:19" s="181" customFormat="1" ht="10.199999999999999" x14ac:dyDescent="0.2">
      <c r="A405" s="237"/>
      <c r="B405" s="257"/>
      <c r="C405" s="257"/>
      <c r="D405" s="257"/>
      <c r="E405" s="236"/>
      <c r="F405" s="257"/>
      <c r="G405" s="257"/>
      <c r="H405" s="257"/>
      <c r="I405" s="257"/>
      <c r="J405" s="257"/>
      <c r="K405" s="239"/>
      <c r="L405" s="239"/>
      <c r="M405" s="199" t="s">
        <v>46</v>
      </c>
      <c r="N405" s="239"/>
      <c r="O405" s="239"/>
      <c r="P405" s="239"/>
      <c r="Q405" s="236"/>
      <c r="R405" s="174"/>
      <c r="S405" s="258"/>
    </row>
    <row r="406" spans="1:19" s="181" customFormat="1" ht="10.199999999999999" x14ac:dyDescent="0.2">
      <c r="A406" s="237"/>
      <c r="B406" s="257"/>
      <c r="C406" s="257"/>
      <c r="D406" s="257"/>
      <c r="E406" s="236"/>
      <c r="F406" s="257"/>
      <c r="G406" s="257"/>
      <c r="H406" s="257"/>
      <c r="I406" s="257"/>
      <c r="J406" s="257"/>
      <c r="K406" s="239"/>
      <c r="L406" s="239"/>
      <c r="M406" s="211" t="s">
        <v>1245</v>
      </c>
      <c r="N406" s="239"/>
      <c r="O406" s="239"/>
      <c r="P406" s="239"/>
      <c r="Q406" s="236"/>
      <c r="R406" s="174"/>
      <c r="S406" s="258"/>
    </row>
    <row r="407" spans="1:19" s="181" customFormat="1" ht="10.199999999999999" x14ac:dyDescent="0.2">
      <c r="A407" s="237">
        <f>A401+1</f>
        <v>66</v>
      </c>
      <c r="B407" s="259">
        <v>43921</v>
      </c>
      <c r="C407" s="259">
        <v>45015</v>
      </c>
      <c r="D407" s="236" t="s">
        <v>381</v>
      </c>
      <c r="E407" s="236" t="s">
        <v>958</v>
      </c>
      <c r="F407" s="236" t="s">
        <v>957</v>
      </c>
      <c r="G407" s="236" t="s">
        <v>376</v>
      </c>
      <c r="H407" s="236" t="s">
        <v>1017</v>
      </c>
      <c r="I407" s="236" t="s">
        <v>383</v>
      </c>
      <c r="J407" s="236">
        <v>64.3</v>
      </c>
      <c r="K407" s="238">
        <f>S407*9</f>
        <v>1945.9697634625063</v>
      </c>
      <c r="L407" s="238">
        <f>S407*3</f>
        <v>648.65658782083551</v>
      </c>
      <c r="M407" s="199" t="s">
        <v>42</v>
      </c>
      <c r="N407" s="241" t="s">
        <v>1197</v>
      </c>
      <c r="O407" s="239"/>
      <c r="P407" s="239"/>
      <c r="Q407" s="236" t="s">
        <v>1261</v>
      </c>
      <c r="R407" s="174"/>
      <c r="S407" s="245">
        <f>14.5*J407*1*(1+0.1+0.9)*1.2*12/1987*16</f>
        <v>216.21886260694515</v>
      </c>
    </row>
    <row r="408" spans="1:19" s="181" customFormat="1" ht="20.399999999999999" x14ac:dyDescent="0.2">
      <c r="A408" s="237"/>
      <c r="B408" s="257"/>
      <c r="C408" s="257"/>
      <c r="D408" s="257"/>
      <c r="E408" s="236"/>
      <c r="F408" s="257"/>
      <c r="G408" s="257"/>
      <c r="H408" s="257"/>
      <c r="I408" s="257"/>
      <c r="J408" s="257"/>
      <c r="K408" s="239"/>
      <c r="L408" s="239"/>
      <c r="M408" s="199" t="s">
        <v>43</v>
      </c>
      <c r="N408" s="239"/>
      <c r="O408" s="239"/>
      <c r="P408" s="239"/>
      <c r="Q408" s="236"/>
      <c r="R408" s="174"/>
      <c r="S408" s="258"/>
    </row>
    <row r="409" spans="1:19" s="181" customFormat="1" ht="10.199999999999999" x14ac:dyDescent="0.2">
      <c r="A409" s="237"/>
      <c r="B409" s="257"/>
      <c r="C409" s="257"/>
      <c r="D409" s="257"/>
      <c r="E409" s="236"/>
      <c r="F409" s="257"/>
      <c r="G409" s="257"/>
      <c r="H409" s="257"/>
      <c r="I409" s="257"/>
      <c r="J409" s="257"/>
      <c r="K409" s="239"/>
      <c r="L409" s="239"/>
      <c r="M409" s="199" t="s">
        <v>44</v>
      </c>
      <c r="N409" s="239"/>
      <c r="O409" s="239"/>
      <c r="P409" s="239"/>
      <c r="Q409" s="236"/>
      <c r="R409" s="174"/>
      <c r="S409" s="258"/>
    </row>
    <row r="410" spans="1:19" s="181" customFormat="1" ht="10.199999999999999" x14ac:dyDescent="0.2">
      <c r="A410" s="237"/>
      <c r="B410" s="257"/>
      <c r="C410" s="257"/>
      <c r="D410" s="257"/>
      <c r="E410" s="236"/>
      <c r="F410" s="257"/>
      <c r="G410" s="257"/>
      <c r="H410" s="257"/>
      <c r="I410" s="257"/>
      <c r="J410" s="257"/>
      <c r="K410" s="239"/>
      <c r="L410" s="239"/>
      <c r="M410" s="199" t="s">
        <v>45</v>
      </c>
      <c r="N410" s="239"/>
      <c r="O410" s="239"/>
      <c r="P410" s="239"/>
      <c r="Q410" s="236"/>
      <c r="R410" s="174"/>
      <c r="S410" s="258"/>
    </row>
    <row r="411" spans="1:19" s="181" customFormat="1" ht="10.199999999999999" x14ac:dyDescent="0.2">
      <c r="A411" s="237"/>
      <c r="B411" s="257"/>
      <c r="C411" s="257"/>
      <c r="D411" s="257"/>
      <c r="E411" s="236"/>
      <c r="F411" s="257"/>
      <c r="G411" s="257"/>
      <c r="H411" s="257"/>
      <c r="I411" s="257"/>
      <c r="J411" s="257"/>
      <c r="K411" s="239"/>
      <c r="L411" s="239"/>
      <c r="M411" s="199" t="s">
        <v>46</v>
      </c>
      <c r="N411" s="239"/>
      <c r="O411" s="239"/>
      <c r="P411" s="239"/>
      <c r="Q411" s="236"/>
      <c r="R411" s="174"/>
      <c r="S411" s="258"/>
    </row>
    <row r="412" spans="1:19" s="181" customFormat="1" ht="10.199999999999999" x14ac:dyDescent="0.2">
      <c r="A412" s="237"/>
      <c r="B412" s="257"/>
      <c r="C412" s="257"/>
      <c r="D412" s="257"/>
      <c r="E412" s="236"/>
      <c r="F412" s="257"/>
      <c r="G412" s="257"/>
      <c r="H412" s="257"/>
      <c r="I412" s="257"/>
      <c r="J412" s="257"/>
      <c r="K412" s="239"/>
      <c r="L412" s="239"/>
      <c r="M412" s="211" t="s">
        <v>1245</v>
      </c>
      <c r="N412" s="239"/>
      <c r="O412" s="239"/>
      <c r="P412" s="239"/>
      <c r="Q412" s="236"/>
      <c r="R412" s="174"/>
      <c r="S412" s="258"/>
    </row>
    <row r="413" spans="1:19" s="181" customFormat="1" ht="10.199999999999999" x14ac:dyDescent="0.2">
      <c r="A413" s="237">
        <f>A407+1</f>
        <v>67</v>
      </c>
      <c r="B413" s="259">
        <v>44071</v>
      </c>
      <c r="C413" s="259">
        <v>44917</v>
      </c>
      <c r="D413" s="236" t="s">
        <v>430</v>
      </c>
      <c r="E413" s="236" t="s">
        <v>958</v>
      </c>
      <c r="F413" s="236" t="s">
        <v>957</v>
      </c>
      <c r="G413" s="236" t="s">
        <v>1020</v>
      </c>
      <c r="H413" s="236" t="s">
        <v>1018</v>
      </c>
      <c r="I413" s="236" t="s">
        <v>434</v>
      </c>
      <c r="J413" s="236">
        <v>91.9</v>
      </c>
      <c r="K413" s="238">
        <f>(S413+S415)*9</f>
        <v>52332.588000000003</v>
      </c>
      <c r="L413" s="238">
        <f>(S413+S415)*3</f>
        <v>17444.196</v>
      </c>
      <c r="M413" s="199" t="s">
        <v>42</v>
      </c>
      <c r="N413" s="197">
        <v>0</v>
      </c>
      <c r="O413" s="197">
        <v>0</v>
      </c>
      <c r="P413" s="241" t="s">
        <v>1020</v>
      </c>
      <c r="Q413" s="237"/>
      <c r="R413" s="174"/>
      <c r="S413" s="245">
        <f>14.5*J413*1.1*(1+0.1+0.9)*1.2</f>
        <v>3517.9320000000007</v>
      </c>
    </row>
    <row r="414" spans="1:19" s="181" customFormat="1" ht="20.399999999999999" x14ac:dyDescent="0.2">
      <c r="A414" s="237"/>
      <c r="B414" s="236"/>
      <c r="C414" s="236"/>
      <c r="D414" s="236"/>
      <c r="E414" s="236"/>
      <c r="F414" s="244"/>
      <c r="G414" s="236"/>
      <c r="H414" s="260"/>
      <c r="I414" s="236"/>
      <c r="J414" s="260"/>
      <c r="K414" s="238"/>
      <c r="L414" s="238"/>
      <c r="M414" s="199" t="s">
        <v>43</v>
      </c>
      <c r="N414" s="197">
        <v>0</v>
      </c>
      <c r="O414" s="197">
        <v>0</v>
      </c>
      <c r="P414" s="241"/>
      <c r="Q414" s="237"/>
      <c r="R414" s="174"/>
      <c r="S414" s="246"/>
    </row>
    <row r="415" spans="1:19" s="181" customFormat="1" ht="10.199999999999999" x14ac:dyDescent="0.2">
      <c r="A415" s="237"/>
      <c r="B415" s="244"/>
      <c r="C415" s="244"/>
      <c r="D415" s="244"/>
      <c r="E415" s="236"/>
      <c r="F415" s="244"/>
      <c r="G415" s="244"/>
      <c r="H415" s="236" t="s">
        <v>1019</v>
      </c>
      <c r="I415" s="244"/>
      <c r="J415" s="236">
        <v>66</v>
      </c>
      <c r="K415" s="238"/>
      <c r="L415" s="238"/>
      <c r="M415" s="199" t="s">
        <v>44</v>
      </c>
      <c r="N415" s="197">
        <v>0</v>
      </c>
      <c r="O415" s="197">
        <v>0</v>
      </c>
      <c r="P415" s="238"/>
      <c r="Q415" s="237"/>
      <c r="R415" s="174"/>
      <c r="S415" s="245">
        <f>14.5*J415*1*(1+0.1+0.9)*1.2</f>
        <v>2296.7999999999997</v>
      </c>
    </row>
    <row r="416" spans="1:19" s="181" customFormat="1" ht="10.199999999999999" x14ac:dyDescent="0.2">
      <c r="A416" s="237"/>
      <c r="B416" s="244"/>
      <c r="C416" s="244"/>
      <c r="D416" s="244"/>
      <c r="E416" s="236"/>
      <c r="F416" s="244"/>
      <c r="G416" s="244"/>
      <c r="H416" s="244"/>
      <c r="I416" s="244"/>
      <c r="J416" s="244"/>
      <c r="K416" s="238"/>
      <c r="L416" s="238"/>
      <c r="M416" s="199" t="s">
        <v>45</v>
      </c>
      <c r="N416" s="197">
        <v>0</v>
      </c>
      <c r="O416" s="197">
        <v>0</v>
      </c>
      <c r="P416" s="238"/>
      <c r="Q416" s="237"/>
      <c r="R416" s="174"/>
      <c r="S416" s="249"/>
    </row>
    <row r="417" spans="1:19" s="181" customFormat="1" ht="10.199999999999999" x14ac:dyDescent="0.2">
      <c r="A417" s="237"/>
      <c r="B417" s="244"/>
      <c r="C417" s="244"/>
      <c r="D417" s="244"/>
      <c r="E417" s="236"/>
      <c r="F417" s="244"/>
      <c r="G417" s="244"/>
      <c r="H417" s="244"/>
      <c r="I417" s="244"/>
      <c r="J417" s="244"/>
      <c r="K417" s="238"/>
      <c r="L417" s="238"/>
      <c r="M417" s="199" t="s">
        <v>46</v>
      </c>
      <c r="N417" s="197">
        <v>0</v>
      </c>
      <c r="O417" s="197">
        <v>0</v>
      </c>
      <c r="P417" s="238"/>
      <c r="Q417" s="237"/>
      <c r="R417" s="174"/>
      <c r="S417" s="249"/>
    </row>
    <row r="418" spans="1:19" s="181" customFormat="1" ht="10.199999999999999" x14ac:dyDescent="0.2">
      <c r="A418" s="237"/>
      <c r="B418" s="244"/>
      <c r="C418" s="244"/>
      <c r="D418" s="244"/>
      <c r="E418" s="236"/>
      <c r="F418" s="244"/>
      <c r="G418" s="244"/>
      <c r="H418" s="244"/>
      <c r="I418" s="244"/>
      <c r="J418" s="244"/>
      <c r="K418" s="238"/>
      <c r="L418" s="238"/>
      <c r="M418" s="211" t="s">
        <v>1245</v>
      </c>
      <c r="N418" s="197">
        <v>917.7</v>
      </c>
      <c r="O418" s="197">
        <v>276.02</v>
      </c>
      <c r="P418" s="238"/>
      <c r="Q418" s="237"/>
      <c r="R418" s="174"/>
      <c r="S418" s="249"/>
    </row>
    <row r="419" spans="1:19" s="181" customFormat="1" ht="10.199999999999999" x14ac:dyDescent="0.2">
      <c r="A419" s="237">
        <f>A413+1</f>
        <v>68</v>
      </c>
      <c r="B419" s="259">
        <v>44092</v>
      </c>
      <c r="C419" s="259">
        <v>44931</v>
      </c>
      <c r="D419" s="236" t="s">
        <v>438</v>
      </c>
      <c r="E419" s="236" t="s">
        <v>958</v>
      </c>
      <c r="F419" s="236" t="s">
        <v>957</v>
      </c>
      <c r="G419" s="266" t="s">
        <v>1021</v>
      </c>
      <c r="H419" s="236" t="s">
        <v>1022</v>
      </c>
      <c r="I419" s="236" t="s">
        <v>442</v>
      </c>
      <c r="J419" s="236">
        <v>48.6</v>
      </c>
      <c r="K419" s="238">
        <f>S419*9</f>
        <v>9513.4499999999989</v>
      </c>
      <c r="L419" s="238">
        <f>S419*3</f>
        <v>3171.1499999999996</v>
      </c>
      <c r="M419" s="199" t="s">
        <v>42</v>
      </c>
      <c r="N419" s="236" t="s">
        <v>1177</v>
      </c>
      <c r="O419" s="242"/>
      <c r="P419" s="266" t="s">
        <v>1021</v>
      </c>
      <c r="Q419" s="237"/>
      <c r="R419" s="174"/>
      <c r="S419" s="245">
        <f>14.5*J419*1*(1+1.2+0.3)*0.6</f>
        <v>1057.05</v>
      </c>
    </row>
    <row r="420" spans="1:19" s="181" customFormat="1" ht="20.399999999999999" x14ac:dyDescent="0.2">
      <c r="A420" s="237"/>
      <c r="B420" s="244"/>
      <c r="C420" s="244"/>
      <c r="D420" s="244"/>
      <c r="E420" s="236"/>
      <c r="F420" s="244"/>
      <c r="G420" s="244"/>
      <c r="H420" s="244"/>
      <c r="I420" s="244"/>
      <c r="J420" s="244"/>
      <c r="K420" s="238"/>
      <c r="L420" s="238"/>
      <c r="M420" s="199" t="s">
        <v>43</v>
      </c>
      <c r="N420" s="242"/>
      <c r="O420" s="242"/>
      <c r="P420" s="237"/>
      <c r="Q420" s="237"/>
      <c r="R420" s="174"/>
      <c r="S420" s="249"/>
    </row>
    <row r="421" spans="1:19" s="181" customFormat="1" ht="10.199999999999999" x14ac:dyDescent="0.2">
      <c r="A421" s="237"/>
      <c r="B421" s="244"/>
      <c r="C421" s="244"/>
      <c r="D421" s="244"/>
      <c r="E421" s="236"/>
      <c r="F421" s="244"/>
      <c r="G421" s="244"/>
      <c r="H421" s="244"/>
      <c r="I421" s="244"/>
      <c r="J421" s="244"/>
      <c r="K421" s="238"/>
      <c r="L421" s="238"/>
      <c r="M421" s="199" t="s">
        <v>44</v>
      </c>
      <c r="N421" s="242"/>
      <c r="O421" s="242"/>
      <c r="P421" s="237"/>
      <c r="Q421" s="237"/>
      <c r="R421" s="174"/>
      <c r="S421" s="249"/>
    </row>
    <row r="422" spans="1:19" s="181" customFormat="1" ht="10.199999999999999" x14ac:dyDescent="0.2">
      <c r="A422" s="237"/>
      <c r="B422" s="244"/>
      <c r="C422" s="244"/>
      <c r="D422" s="244"/>
      <c r="E422" s="236"/>
      <c r="F422" s="244"/>
      <c r="G422" s="244"/>
      <c r="H422" s="244"/>
      <c r="I422" s="244"/>
      <c r="J422" s="244"/>
      <c r="K422" s="238"/>
      <c r="L422" s="238"/>
      <c r="M422" s="199" t="s">
        <v>45</v>
      </c>
      <c r="N422" s="242"/>
      <c r="O422" s="242"/>
      <c r="P422" s="237"/>
      <c r="Q422" s="237"/>
      <c r="R422" s="174"/>
      <c r="S422" s="249"/>
    </row>
    <row r="423" spans="1:19" s="181" customFormat="1" ht="10.199999999999999" x14ac:dyDescent="0.2">
      <c r="A423" s="237"/>
      <c r="B423" s="244"/>
      <c r="C423" s="244"/>
      <c r="D423" s="244"/>
      <c r="E423" s="236"/>
      <c r="F423" s="244"/>
      <c r="G423" s="244"/>
      <c r="H423" s="244"/>
      <c r="I423" s="244"/>
      <c r="J423" s="244"/>
      <c r="K423" s="238"/>
      <c r="L423" s="238"/>
      <c r="M423" s="199" t="s">
        <v>46</v>
      </c>
      <c r="N423" s="242"/>
      <c r="O423" s="242"/>
      <c r="P423" s="237"/>
      <c r="Q423" s="237"/>
      <c r="R423" s="174"/>
      <c r="S423" s="249"/>
    </row>
    <row r="424" spans="1:19" s="181" customFormat="1" ht="10.199999999999999" x14ac:dyDescent="0.2">
      <c r="A424" s="237"/>
      <c r="B424" s="244"/>
      <c r="C424" s="244"/>
      <c r="D424" s="244"/>
      <c r="E424" s="236"/>
      <c r="F424" s="244"/>
      <c r="G424" s="244"/>
      <c r="H424" s="244"/>
      <c r="I424" s="244"/>
      <c r="J424" s="244"/>
      <c r="K424" s="238"/>
      <c r="L424" s="238"/>
      <c r="M424" s="211" t="s">
        <v>1245</v>
      </c>
      <c r="N424" s="242"/>
      <c r="O424" s="242"/>
      <c r="P424" s="237"/>
      <c r="Q424" s="237"/>
      <c r="R424" s="174"/>
      <c r="S424" s="249"/>
    </row>
    <row r="425" spans="1:19" s="181" customFormat="1" ht="10.199999999999999" x14ac:dyDescent="0.2">
      <c r="A425" s="237">
        <f>A419+1</f>
        <v>69</v>
      </c>
      <c r="B425" s="243">
        <v>44120</v>
      </c>
      <c r="C425" s="259">
        <v>45190</v>
      </c>
      <c r="D425" s="247" t="s">
        <v>444</v>
      </c>
      <c r="E425" s="236" t="s">
        <v>958</v>
      </c>
      <c r="F425" s="236" t="s">
        <v>957</v>
      </c>
      <c r="G425" s="247" t="s">
        <v>446</v>
      </c>
      <c r="H425" s="248" t="s">
        <v>1023</v>
      </c>
      <c r="I425" s="243" t="s">
        <v>450</v>
      </c>
      <c r="J425" s="248">
        <v>247.7</v>
      </c>
      <c r="K425" s="238">
        <f>S425*9</f>
        <v>45093.16575</v>
      </c>
      <c r="L425" s="238">
        <f>S425*3</f>
        <v>15031.055249999999</v>
      </c>
      <c r="M425" s="199" t="s">
        <v>42</v>
      </c>
      <c r="N425" s="241" t="s">
        <v>1142</v>
      </c>
      <c r="O425" s="242"/>
      <c r="P425" s="250" t="s">
        <v>446</v>
      </c>
      <c r="Q425" s="237"/>
      <c r="R425" s="174"/>
      <c r="S425" s="245">
        <f>14.5*J425*1*(1+0.5*1.1)*0.9</f>
        <v>5010.3517499999998</v>
      </c>
    </row>
    <row r="426" spans="1:19" s="181" customFormat="1" ht="20.399999999999999" x14ac:dyDescent="0.2">
      <c r="A426" s="237"/>
      <c r="B426" s="236"/>
      <c r="C426" s="244"/>
      <c r="D426" s="244"/>
      <c r="E426" s="236"/>
      <c r="F426" s="244"/>
      <c r="G426" s="244"/>
      <c r="H426" s="244"/>
      <c r="I426" s="244"/>
      <c r="J426" s="244"/>
      <c r="K426" s="238"/>
      <c r="L426" s="238"/>
      <c r="M426" s="199" t="s">
        <v>43</v>
      </c>
      <c r="N426" s="242"/>
      <c r="O426" s="242"/>
      <c r="P426" s="238"/>
      <c r="Q426" s="237"/>
      <c r="R426" s="174"/>
      <c r="S426" s="249"/>
    </row>
    <row r="427" spans="1:19" s="181" customFormat="1" ht="10.199999999999999" x14ac:dyDescent="0.2">
      <c r="A427" s="237"/>
      <c r="B427" s="236"/>
      <c r="C427" s="244"/>
      <c r="D427" s="244"/>
      <c r="E427" s="236"/>
      <c r="F427" s="244"/>
      <c r="G427" s="244"/>
      <c r="H427" s="244"/>
      <c r="I427" s="244"/>
      <c r="J427" s="244"/>
      <c r="K427" s="238"/>
      <c r="L427" s="238"/>
      <c r="M427" s="199" t="s">
        <v>44</v>
      </c>
      <c r="N427" s="242"/>
      <c r="O427" s="242"/>
      <c r="P427" s="238"/>
      <c r="Q427" s="237"/>
      <c r="R427" s="174"/>
      <c r="S427" s="249"/>
    </row>
    <row r="428" spans="1:19" s="181" customFormat="1" ht="10.199999999999999" x14ac:dyDescent="0.2">
      <c r="A428" s="237"/>
      <c r="B428" s="236"/>
      <c r="C428" s="244"/>
      <c r="D428" s="244"/>
      <c r="E428" s="236"/>
      <c r="F428" s="244"/>
      <c r="G428" s="244"/>
      <c r="H428" s="244"/>
      <c r="I428" s="244"/>
      <c r="J428" s="244"/>
      <c r="K428" s="238"/>
      <c r="L428" s="238"/>
      <c r="M428" s="199" t="s">
        <v>45</v>
      </c>
      <c r="N428" s="242"/>
      <c r="O428" s="242"/>
      <c r="P428" s="238"/>
      <c r="Q428" s="237"/>
      <c r="R428" s="174"/>
      <c r="S428" s="249"/>
    </row>
    <row r="429" spans="1:19" s="181" customFormat="1" ht="10.199999999999999" x14ac:dyDescent="0.2">
      <c r="A429" s="237"/>
      <c r="B429" s="236"/>
      <c r="C429" s="244"/>
      <c r="D429" s="244"/>
      <c r="E429" s="236"/>
      <c r="F429" s="244"/>
      <c r="G429" s="244"/>
      <c r="H429" s="244"/>
      <c r="I429" s="244"/>
      <c r="J429" s="244"/>
      <c r="K429" s="238"/>
      <c r="L429" s="238"/>
      <c r="M429" s="199" t="s">
        <v>46</v>
      </c>
      <c r="N429" s="242"/>
      <c r="O429" s="242"/>
      <c r="P429" s="238"/>
      <c r="Q429" s="237"/>
      <c r="R429" s="174"/>
      <c r="S429" s="249"/>
    </row>
    <row r="430" spans="1:19" s="181" customFormat="1" ht="10.199999999999999" x14ac:dyDescent="0.2">
      <c r="A430" s="237"/>
      <c r="B430" s="236"/>
      <c r="C430" s="244"/>
      <c r="D430" s="244"/>
      <c r="E430" s="236"/>
      <c r="F430" s="244"/>
      <c r="G430" s="244"/>
      <c r="H430" s="244"/>
      <c r="I430" s="244"/>
      <c r="J430" s="244"/>
      <c r="K430" s="238"/>
      <c r="L430" s="238"/>
      <c r="M430" s="211" t="s">
        <v>1245</v>
      </c>
      <c r="N430" s="195">
        <v>3444.1</v>
      </c>
      <c r="O430" s="195">
        <v>446.05</v>
      </c>
      <c r="P430" s="238"/>
      <c r="Q430" s="237"/>
      <c r="R430" s="174"/>
      <c r="S430" s="249"/>
    </row>
    <row r="431" spans="1:19" s="181" customFormat="1" ht="10.199999999999999" x14ac:dyDescent="0.2">
      <c r="A431" s="237">
        <f>A425+1</f>
        <v>70</v>
      </c>
      <c r="B431" s="259">
        <v>44258</v>
      </c>
      <c r="C431" s="270">
        <v>45296</v>
      </c>
      <c r="D431" s="236" t="s">
        <v>452</v>
      </c>
      <c r="E431" s="236" t="s">
        <v>958</v>
      </c>
      <c r="F431" s="236" t="s">
        <v>957</v>
      </c>
      <c r="G431" s="266" t="s">
        <v>1251</v>
      </c>
      <c r="H431" s="236" t="s">
        <v>1024</v>
      </c>
      <c r="I431" s="236" t="s">
        <v>457</v>
      </c>
      <c r="J431" s="236">
        <v>32.200000000000003</v>
      </c>
      <c r="K431" s="238">
        <f>S431*9</f>
        <v>1461.7471162556617</v>
      </c>
      <c r="L431" s="238">
        <f>S431*3</f>
        <v>487.24903875188727</v>
      </c>
      <c r="M431" s="199" t="s">
        <v>42</v>
      </c>
      <c r="N431" s="197">
        <v>0</v>
      </c>
      <c r="O431" s="197">
        <v>0</v>
      </c>
      <c r="P431" s="241" t="s">
        <v>1251</v>
      </c>
      <c r="Q431" s="237"/>
      <c r="R431" s="174"/>
      <c r="S431" s="245">
        <f>14.5*J431*1*(1+0.1+0.9)*1.2*12/1987*24</f>
        <v>162.41634625062909</v>
      </c>
    </row>
    <row r="432" spans="1:19" s="181" customFormat="1" ht="20.399999999999999" x14ac:dyDescent="0.2">
      <c r="A432" s="237"/>
      <c r="B432" s="244"/>
      <c r="C432" s="244"/>
      <c r="D432" s="244"/>
      <c r="E432" s="236"/>
      <c r="F432" s="244"/>
      <c r="G432" s="244"/>
      <c r="H432" s="244"/>
      <c r="I432" s="244"/>
      <c r="J432" s="244"/>
      <c r="K432" s="238"/>
      <c r="L432" s="238"/>
      <c r="M432" s="199" t="s">
        <v>43</v>
      </c>
      <c r="N432" s="197">
        <v>0</v>
      </c>
      <c r="O432" s="197">
        <v>0</v>
      </c>
      <c r="P432" s="238"/>
      <c r="Q432" s="237"/>
      <c r="R432" s="174"/>
      <c r="S432" s="249"/>
    </row>
    <row r="433" spans="1:19" s="181" customFormat="1" ht="10.199999999999999" x14ac:dyDescent="0.2">
      <c r="A433" s="237"/>
      <c r="B433" s="244"/>
      <c r="C433" s="244"/>
      <c r="D433" s="244"/>
      <c r="E433" s="236"/>
      <c r="F433" s="244"/>
      <c r="G433" s="244"/>
      <c r="H433" s="244"/>
      <c r="I433" s="244"/>
      <c r="J433" s="244"/>
      <c r="K433" s="238"/>
      <c r="L433" s="238"/>
      <c r="M433" s="199" t="s">
        <v>44</v>
      </c>
      <c r="N433" s="197">
        <v>0</v>
      </c>
      <c r="O433" s="197">
        <v>0</v>
      </c>
      <c r="P433" s="238"/>
      <c r="Q433" s="237"/>
      <c r="R433" s="174"/>
      <c r="S433" s="249"/>
    </row>
    <row r="434" spans="1:19" s="181" customFormat="1" ht="10.199999999999999" x14ac:dyDescent="0.2">
      <c r="A434" s="237"/>
      <c r="B434" s="244"/>
      <c r="C434" s="244"/>
      <c r="D434" s="244"/>
      <c r="E434" s="236"/>
      <c r="F434" s="244"/>
      <c r="G434" s="244"/>
      <c r="H434" s="244"/>
      <c r="I434" s="244"/>
      <c r="J434" s="244"/>
      <c r="K434" s="238"/>
      <c r="L434" s="238"/>
      <c r="M434" s="199" t="s">
        <v>45</v>
      </c>
      <c r="N434" s="197">
        <v>0</v>
      </c>
      <c r="O434" s="197">
        <v>0</v>
      </c>
      <c r="P434" s="238"/>
      <c r="Q434" s="237"/>
      <c r="R434" s="174"/>
      <c r="S434" s="249"/>
    </row>
    <row r="435" spans="1:19" s="181" customFormat="1" ht="10.199999999999999" x14ac:dyDescent="0.2">
      <c r="A435" s="237"/>
      <c r="B435" s="244"/>
      <c r="C435" s="244"/>
      <c r="D435" s="244"/>
      <c r="E435" s="236"/>
      <c r="F435" s="244"/>
      <c r="G435" s="244"/>
      <c r="H435" s="244"/>
      <c r="I435" s="244"/>
      <c r="J435" s="244"/>
      <c r="K435" s="238"/>
      <c r="L435" s="238"/>
      <c r="M435" s="199" t="s">
        <v>46</v>
      </c>
      <c r="N435" s="197">
        <v>0</v>
      </c>
      <c r="O435" s="197">
        <v>0</v>
      </c>
      <c r="P435" s="238"/>
      <c r="Q435" s="237"/>
      <c r="R435" s="174"/>
      <c r="S435" s="249"/>
    </row>
    <row r="436" spans="1:19" s="181" customFormat="1" ht="10.199999999999999" x14ac:dyDescent="0.2">
      <c r="A436" s="237"/>
      <c r="B436" s="244"/>
      <c r="C436" s="244"/>
      <c r="D436" s="244"/>
      <c r="E436" s="236"/>
      <c r="F436" s="244"/>
      <c r="G436" s="244"/>
      <c r="H436" s="244"/>
      <c r="I436" s="244"/>
      <c r="J436" s="244"/>
      <c r="K436" s="238"/>
      <c r="L436" s="238"/>
      <c r="M436" s="211" t="s">
        <v>1245</v>
      </c>
      <c r="N436" s="197">
        <v>55.06</v>
      </c>
      <c r="O436" s="197">
        <v>55.06</v>
      </c>
      <c r="P436" s="238"/>
      <c r="Q436" s="237"/>
      <c r="R436" s="174"/>
      <c r="S436" s="249"/>
    </row>
    <row r="437" spans="1:19" s="181" customFormat="1" ht="10.199999999999999" x14ac:dyDescent="0.2">
      <c r="A437" s="237">
        <f>A431+1</f>
        <v>71</v>
      </c>
      <c r="B437" s="259">
        <v>44258</v>
      </c>
      <c r="C437" s="259">
        <v>47757</v>
      </c>
      <c r="D437" s="236" t="s">
        <v>459</v>
      </c>
      <c r="E437" s="236" t="s">
        <v>958</v>
      </c>
      <c r="F437" s="236" t="s">
        <v>957</v>
      </c>
      <c r="G437" s="236" t="s">
        <v>460</v>
      </c>
      <c r="H437" s="236" t="s">
        <v>1025</v>
      </c>
      <c r="I437" s="236" t="s">
        <v>1026</v>
      </c>
      <c r="J437" s="236">
        <v>274.3</v>
      </c>
      <c r="K437" s="238">
        <f>S437*9</f>
        <v>18900.367200000001</v>
      </c>
      <c r="L437" s="238">
        <f>S437*3</f>
        <v>6300.1224000000002</v>
      </c>
      <c r="M437" s="199" t="s">
        <v>42</v>
      </c>
      <c r="N437" s="241" t="s">
        <v>1142</v>
      </c>
      <c r="O437" s="242"/>
      <c r="P437" s="241" t="s">
        <v>460</v>
      </c>
      <c r="Q437" s="237"/>
      <c r="R437" s="174"/>
      <c r="S437" s="245">
        <f>14.5*J437*1.2*(1+0.1+1.1)*0.2</f>
        <v>2100.0408000000002</v>
      </c>
    </row>
    <row r="438" spans="1:19" s="181" customFormat="1" ht="20.399999999999999" x14ac:dyDescent="0.2">
      <c r="A438" s="237"/>
      <c r="B438" s="251"/>
      <c r="C438" s="257"/>
      <c r="D438" s="257"/>
      <c r="E438" s="236"/>
      <c r="F438" s="257"/>
      <c r="G438" s="257"/>
      <c r="H438" s="257"/>
      <c r="I438" s="257"/>
      <c r="J438" s="257"/>
      <c r="K438" s="239"/>
      <c r="L438" s="239"/>
      <c r="M438" s="199" t="s">
        <v>43</v>
      </c>
      <c r="N438" s="242"/>
      <c r="O438" s="242"/>
      <c r="P438" s="239"/>
      <c r="Q438" s="237"/>
      <c r="R438" s="174"/>
      <c r="S438" s="258"/>
    </row>
    <row r="439" spans="1:19" s="181" customFormat="1" ht="10.199999999999999" x14ac:dyDescent="0.2">
      <c r="A439" s="237"/>
      <c r="B439" s="251"/>
      <c r="C439" s="257"/>
      <c r="D439" s="257"/>
      <c r="E439" s="251"/>
      <c r="F439" s="257"/>
      <c r="G439" s="257"/>
      <c r="H439" s="257"/>
      <c r="I439" s="257"/>
      <c r="J439" s="257"/>
      <c r="K439" s="239"/>
      <c r="L439" s="239"/>
      <c r="M439" s="199" t="s">
        <v>44</v>
      </c>
      <c r="N439" s="242"/>
      <c r="O439" s="242"/>
      <c r="P439" s="239"/>
      <c r="Q439" s="237"/>
      <c r="R439" s="174"/>
      <c r="S439" s="258"/>
    </row>
    <row r="440" spans="1:19" s="181" customFormat="1" ht="10.199999999999999" x14ac:dyDescent="0.2">
      <c r="A440" s="237"/>
      <c r="B440" s="251"/>
      <c r="C440" s="257"/>
      <c r="D440" s="257"/>
      <c r="E440" s="251"/>
      <c r="F440" s="257"/>
      <c r="G440" s="257"/>
      <c r="H440" s="257"/>
      <c r="I440" s="257"/>
      <c r="J440" s="257"/>
      <c r="K440" s="239"/>
      <c r="L440" s="239"/>
      <c r="M440" s="199" t="s">
        <v>45</v>
      </c>
      <c r="N440" s="242"/>
      <c r="O440" s="242"/>
      <c r="P440" s="239"/>
      <c r="Q440" s="237"/>
      <c r="R440" s="174"/>
      <c r="S440" s="258"/>
    </row>
    <row r="441" spans="1:19" s="181" customFormat="1" ht="10.199999999999999" x14ac:dyDescent="0.2">
      <c r="A441" s="237"/>
      <c r="B441" s="251"/>
      <c r="C441" s="257"/>
      <c r="D441" s="257"/>
      <c r="E441" s="251"/>
      <c r="F441" s="257"/>
      <c r="G441" s="257"/>
      <c r="H441" s="257"/>
      <c r="I441" s="257"/>
      <c r="J441" s="257"/>
      <c r="K441" s="239"/>
      <c r="L441" s="239"/>
      <c r="M441" s="199" t="s">
        <v>46</v>
      </c>
      <c r="N441" s="242"/>
      <c r="O441" s="242"/>
      <c r="P441" s="239"/>
      <c r="Q441" s="237"/>
      <c r="R441" s="174"/>
      <c r="S441" s="258"/>
    </row>
    <row r="442" spans="1:19" s="181" customFormat="1" ht="10.199999999999999" x14ac:dyDescent="0.2">
      <c r="A442" s="237"/>
      <c r="B442" s="251"/>
      <c r="C442" s="257"/>
      <c r="D442" s="257"/>
      <c r="E442" s="251"/>
      <c r="F442" s="257"/>
      <c r="G442" s="257"/>
      <c r="H442" s="257"/>
      <c r="I442" s="257"/>
      <c r="J442" s="257"/>
      <c r="K442" s="239"/>
      <c r="L442" s="239"/>
      <c r="M442" s="211" t="s">
        <v>1245</v>
      </c>
      <c r="N442" s="195">
        <v>466.31</v>
      </c>
      <c r="O442" s="195">
        <v>466.31</v>
      </c>
      <c r="P442" s="239"/>
      <c r="Q442" s="237"/>
      <c r="R442" s="174"/>
      <c r="S442" s="258"/>
    </row>
    <row r="443" spans="1:19" s="181" customFormat="1" ht="10.199999999999999" x14ac:dyDescent="0.2">
      <c r="A443" s="237">
        <f>A437+1</f>
        <v>72</v>
      </c>
      <c r="B443" s="259">
        <v>44258</v>
      </c>
      <c r="C443" s="259">
        <v>45310</v>
      </c>
      <c r="D443" s="236" t="s">
        <v>465</v>
      </c>
      <c r="E443" s="236" t="s">
        <v>958</v>
      </c>
      <c r="F443" s="236" t="s">
        <v>957</v>
      </c>
      <c r="G443" s="236" t="s">
        <v>466</v>
      </c>
      <c r="H443" s="236" t="s">
        <v>1027</v>
      </c>
      <c r="I443" s="236" t="s">
        <v>470</v>
      </c>
      <c r="J443" s="236">
        <v>18.8</v>
      </c>
      <c r="K443" s="238">
        <f>S443*9</f>
        <v>6476.9760000000006</v>
      </c>
      <c r="L443" s="238">
        <f>S443*3</f>
        <v>2158.9920000000002</v>
      </c>
      <c r="M443" s="199" t="s">
        <v>42</v>
      </c>
      <c r="N443" s="241" t="s">
        <v>1142</v>
      </c>
      <c r="O443" s="242"/>
      <c r="P443" s="241" t="s">
        <v>466</v>
      </c>
      <c r="Q443" s="237"/>
      <c r="R443" s="174"/>
      <c r="S443" s="245">
        <f>14.5*J443*1*(1+0.5+0.7)*1.2</f>
        <v>719.6640000000001</v>
      </c>
    </row>
    <row r="444" spans="1:19" s="181" customFormat="1" ht="20.399999999999999" x14ac:dyDescent="0.2">
      <c r="A444" s="237"/>
      <c r="B444" s="251"/>
      <c r="C444" s="257"/>
      <c r="D444" s="257"/>
      <c r="E444" s="236"/>
      <c r="F444" s="257"/>
      <c r="G444" s="257"/>
      <c r="H444" s="257"/>
      <c r="I444" s="257"/>
      <c r="J444" s="257"/>
      <c r="K444" s="239"/>
      <c r="L444" s="239"/>
      <c r="M444" s="199" t="s">
        <v>43</v>
      </c>
      <c r="N444" s="242"/>
      <c r="O444" s="242"/>
      <c r="P444" s="239"/>
      <c r="Q444" s="237"/>
      <c r="R444" s="174"/>
      <c r="S444" s="258"/>
    </row>
    <row r="445" spans="1:19" s="181" customFormat="1" ht="10.199999999999999" x14ac:dyDescent="0.2">
      <c r="A445" s="237"/>
      <c r="B445" s="251"/>
      <c r="C445" s="257"/>
      <c r="D445" s="257"/>
      <c r="E445" s="251"/>
      <c r="F445" s="257"/>
      <c r="G445" s="257"/>
      <c r="H445" s="257"/>
      <c r="I445" s="257"/>
      <c r="J445" s="257"/>
      <c r="K445" s="239"/>
      <c r="L445" s="239"/>
      <c r="M445" s="199" t="s">
        <v>44</v>
      </c>
      <c r="N445" s="242"/>
      <c r="O445" s="242"/>
      <c r="P445" s="239"/>
      <c r="Q445" s="237"/>
      <c r="R445" s="174"/>
      <c r="S445" s="258"/>
    </row>
    <row r="446" spans="1:19" s="181" customFormat="1" ht="10.199999999999999" x14ac:dyDescent="0.2">
      <c r="A446" s="237"/>
      <c r="B446" s="251"/>
      <c r="C446" s="257"/>
      <c r="D446" s="257"/>
      <c r="E446" s="251"/>
      <c r="F446" s="257"/>
      <c r="G446" s="257"/>
      <c r="H446" s="257"/>
      <c r="I446" s="257"/>
      <c r="J446" s="257"/>
      <c r="K446" s="239"/>
      <c r="L446" s="239"/>
      <c r="M446" s="199" t="s">
        <v>45</v>
      </c>
      <c r="N446" s="242"/>
      <c r="O446" s="242"/>
      <c r="P446" s="239"/>
      <c r="Q446" s="237"/>
      <c r="R446" s="174"/>
      <c r="S446" s="258"/>
    </row>
    <row r="447" spans="1:19" s="181" customFormat="1" ht="10.199999999999999" x14ac:dyDescent="0.2">
      <c r="A447" s="237"/>
      <c r="B447" s="251"/>
      <c r="C447" s="257"/>
      <c r="D447" s="257"/>
      <c r="E447" s="251"/>
      <c r="F447" s="257"/>
      <c r="G447" s="257"/>
      <c r="H447" s="257"/>
      <c r="I447" s="257"/>
      <c r="J447" s="257"/>
      <c r="K447" s="239"/>
      <c r="L447" s="239"/>
      <c r="M447" s="199" t="s">
        <v>46</v>
      </c>
      <c r="N447" s="242"/>
      <c r="O447" s="242"/>
      <c r="P447" s="239"/>
      <c r="Q447" s="237"/>
      <c r="R447" s="174"/>
      <c r="S447" s="258"/>
    </row>
    <row r="448" spans="1:19" s="181" customFormat="1" ht="10.199999999999999" x14ac:dyDescent="0.2">
      <c r="A448" s="237"/>
      <c r="B448" s="251"/>
      <c r="C448" s="257"/>
      <c r="D448" s="257"/>
      <c r="E448" s="251"/>
      <c r="F448" s="257"/>
      <c r="G448" s="257"/>
      <c r="H448" s="257"/>
      <c r="I448" s="257"/>
      <c r="J448" s="257"/>
      <c r="K448" s="239"/>
      <c r="L448" s="239"/>
      <c r="M448" s="211" t="s">
        <v>1245</v>
      </c>
      <c r="N448" s="195">
        <v>64.3</v>
      </c>
      <c r="O448" s="195">
        <v>32.15</v>
      </c>
      <c r="P448" s="239"/>
      <c r="Q448" s="237"/>
      <c r="R448" s="174"/>
      <c r="S448" s="258"/>
    </row>
    <row r="449" spans="1:19" s="181" customFormat="1" ht="10.199999999999999" x14ac:dyDescent="0.2">
      <c r="A449" s="237">
        <f>A443+1</f>
        <v>73</v>
      </c>
      <c r="B449" s="259">
        <v>44329</v>
      </c>
      <c r="C449" s="259">
        <v>45424</v>
      </c>
      <c r="D449" s="236" t="s">
        <v>499</v>
      </c>
      <c r="E449" s="236" t="s">
        <v>958</v>
      </c>
      <c r="F449" s="236" t="s">
        <v>957</v>
      </c>
      <c r="G449" s="247" t="s">
        <v>501</v>
      </c>
      <c r="H449" s="247" t="s">
        <v>1028</v>
      </c>
      <c r="I449" s="236" t="s">
        <v>504</v>
      </c>
      <c r="J449" s="236">
        <v>265.60000000000002</v>
      </c>
      <c r="K449" s="238">
        <f>S449*9</f>
        <v>18300.902400000003</v>
      </c>
      <c r="L449" s="238">
        <f>S449*3</f>
        <v>6100.3008000000009</v>
      </c>
      <c r="M449" s="199" t="s">
        <v>42</v>
      </c>
      <c r="N449" s="241" t="s">
        <v>1142</v>
      </c>
      <c r="O449" s="242"/>
      <c r="P449" s="250" t="s">
        <v>501</v>
      </c>
      <c r="Q449" s="237"/>
      <c r="R449" s="174"/>
      <c r="S449" s="245">
        <f>14.5*J449*1.2*(1+0.1+1.1)*0.2</f>
        <v>2033.4336000000003</v>
      </c>
    </row>
    <row r="450" spans="1:19" s="181" customFormat="1" ht="20.399999999999999" x14ac:dyDescent="0.2">
      <c r="A450" s="237"/>
      <c r="B450" s="244"/>
      <c r="C450" s="244"/>
      <c r="D450" s="244"/>
      <c r="E450" s="236"/>
      <c r="F450" s="244"/>
      <c r="G450" s="244"/>
      <c r="H450" s="244"/>
      <c r="I450" s="244"/>
      <c r="J450" s="244"/>
      <c r="K450" s="238"/>
      <c r="L450" s="238"/>
      <c r="M450" s="199" t="s">
        <v>43</v>
      </c>
      <c r="N450" s="242"/>
      <c r="O450" s="242"/>
      <c r="P450" s="238"/>
      <c r="Q450" s="237"/>
      <c r="R450" s="174"/>
      <c r="S450" s="249"/>
    </row>
    <row r="451" spans="1:19" s="181" customFormat="1" ht="10.199999999999999" x14ac:dyDescent="0.2">
      <c r="A451" s="237"/>
      <c r="B451" s="244"/>
      <c r="C451" s="244"/>
      <c r="D451" s="244"/>
      <c r="E451" s="236"/>
      <c r="F451" s="244"/>
      <c r="G451" s="244"/>
      <c r="H451" s="244"/>
      <c r="I451" s="244"/>
      <c r="J451" s="244"/>
      <c r="K451" s="238"/>
      <c r="L451" s="238"/>
      <c r="M451" s="199" t="s">
        <v>44</v>
      </c>
      <c r="N451" s="242"/>
      <c r="O451" s="242"/>
      <c r="P451" s="238"/>
      <c r="Q451" s="237"/>
      <c r="R451" s="174"/>
      <c r="S451" s="249"/>
    </row>
    <row r="452" spans="1:19" s="181" customFormat="1" ht="10.199999999999999" x14ac:dyDescent="0.2">
      <c r="A452" s="237"/>
      <c r="B452" s="244"/>
      <c r="C452" s="244"/>
      <c r="D452" s="244"/>
      <c r="E452" s="236"/>
      <c r="F452" s="244"/>
      <c r="G452" s="244"/>
      <c r="H452" s="244"/>
      <c r="I452" s="244"/>
      <c r="J452" s="244"/>
      <c r="K452" s="238"/>
      <c r="L452" s="238"/>
      <c r="M452" s="199" t="s">
        <v>45</v>
      </c>
      <c r="N452" s="242"/>
      <c r="O452" s="242"/>
      <c r="P452" s="238"/>
      <c r="Q452" s="237"/>
      <c r="R452" s="174"/>
      <c r="S452" s="249"/>
    </row>
    <row r="453" spans="1:19" s="181" customFormat="1" ht="10.199999999999999" x14ac:dyDescent="0.2">
      <c r="A453" s="237"/>
      <c r="B453" s="244"/>
      <c r="C453" s="244"/>
      <c r="D453" s="244"/>
      <c r="E453" s="236"/>
      <c r="F453" s="244"/>
      <c r="G453" s="244"/>
      <c r="H453" s="244"/>
      <c r="I453" s="244"/>
      <c r="J453" s="244"/>
      <c r="K453" s="238"/>
      <c r="L453" s="238"/>
      <c r="M453" s="199" t="s">
        <v>46</v>
      </c>
      <c r="N453" s="242"/>
      <c r="O453" s="242"/>
      <c r="P453" s="238"/>
      <c r="Q453" s="237"/>
      <c r="R453" s="174"/>
      <c r="S453" s="249"/>
    </row>
    <row r="454" spans="1:19" s="181" customFormat="1" ht="10.199999999999999" x14ac:dyDescent="0.2">
      <c r="A454" s="237"/>
      <c r="B454" s="244"/>
      <c r="C454" s="244"/>
      <c r="D454" s="244"/>
      <c r="E454" s="236"/>
      <c r="F454" s="244"/>
      <c r="G454" s="244"/>
      <c r="H454" s="244"/>
      <c r="I454" s="244"/>
      <c r="J454" s="244"/>
      <c r="K454" s="238"/>
      <c r="L454" s="238"/>
      <c r="M454" s="211" t="s">
        <v>1245</v>
      </c>
      <c r="N454" s="195">
        <v>454.17</v>
      </c>
      <c r="O454" s="195">
        <v>454.17</v>
      </c>
      <c r="P454" s="238"/>
      <c r="Q454" s="237"/>
      <c r="R454" s="174"/>
      <c r="S454" s="249"/>
    </row>
    <row r="455" spans="1:19" s="181" customFormat="1" ht="10.199999999999999" x14ac:dyDescent="0.2">
      <c r="A455" s="237">
        <f>A449+1</f>
        <v>74</v>
      </c>
      <c r="B455" s="243">
        <v>44428</v>
      </c>
      <c r="C455" s="243">
        <v>46253</v>
      </c>
      <c r="D455" s="247" t="s">
        <v>538</v>
      </c>
      <c r="E455" s="236" t="s">
        <v>958</v>
      </c>
      <c r="F455" s="236" t="s">
        <v>957</v>
      </c>
      <c r="G455" s="247" t="s">
        <v>501</v>
      </c>
      <c r="H455" s="247" t="s">
        <v>1029</v>
      </c>
      <c r="I455" s="247" t="s">
        <v>543</v>
      </c>
      <c r="J455" s="248">
        <v>225.6</v>
      </c>
      <c r="K455" s="238">
        <f>S455*9</f>
        <v>12953.952000000001</v>
      </c>
      <c r="L455" s="238">
        <f>S455*3</f>
        <v>4317.9840000000004</v>
      </c>
      <c r="M455" s="199" t="s">
        <v>42</v>
      </c>
      <c r="N455" s="241" t="s">
        <v>1142</v>
      </c>
      <c r="O455" s="242"/>
      <c r="P455" s="250" t="s">
        <v>501</v>
      </c>
      <c r="Q455" s="237"/>
      <c r="R455" s="174"/>
      <c r="S455" s="245">
        <f>14.5*J455*1*(1+0.1+1.1)*0.2</f>
        <v>1439.3280000000002</v>
      </c>
    </row>
    <row r="456" spans="1:19" s="181" customFormat="1" ht="20.399999999999999" x14ac:dyDescent="0.2">
      <c r="A456" s="237"/>
      <c r="B456" s="244"/>
      <c r="C456" s="244"/>
      <c r="D456" s="244"/>
      <c r="E456" s="236"/>
      <c r="F456" s="244"/>
      <c r="G456" s="244"/>
      <c r="H456" s="244"/>
      <c r="I456" s="244"/>
      <c r="J456" s="244"/>
      <c r="K456" s="238"/>
      <c r="L456" s="238"/>
      <c r="M456" s="199" t="s">
        <v>43</v>
      </c>
      <c r="N456" s="242"/>
      <c r="O456" s="242"/>
      <c r="P456" s="238"/>
      <c r="Q456" s="237"/>
      <c r="R456" s="174"/>
      <c r="S456" s="249"/>
    </row>
    <row r="457" spans="1:19" s="181" customFormat="1" ht="10.199999999999999" x14ac:dyDescent="0.2">
      <c r="A457" s="237"/>
      <c r="B457" s="244"/>
      <c r="C457" s="244"/>
      <c r="D457" s="244"/>
      <c r="E457" s="236"/>
      <c r="F457" s="244"/>
      <c r="G457" s="244"/>
      <c r="H457" s="244"/>
      <c r="I457" s="244"/>
      <c r="J457" s="244"/>
      <c r="K457" s="238"/>
      <c r="L457" s="238"/>
      <c r="M457" s="199" t="s">
        <v>44</v>
      </c>
      <c r="N457" s="242"/>
      <c r="O457" s="242"/>
      <c r="P457" s="238"/>
      <c r="Q457" s="237"/>
      <c r="R457" s="174"/>
      <c r="S457" s="249"/>
    </row>
    <row r="458" spans="1:19" s="181" customFormat="1" ht="10.199999999999999" x14ac:dyDescent="0.2">
      <c r="A458" s="237"/>
      <c r="B458" s="244"/>
      <c r="C458" s="244"/>
      <c r="D458" s="244"/>
      <c r="E458" s="236"/>
      <c r="F458" s="244"/>
      <c r="G458" s="244"/>
      <c r="H458" s="244"/>
      <c r="I458" s="244"/>
      <c r="J458" s="244"/>
      <c r="K458" s="238"/>
      <c r="L458" s="238"/>
      <c r="M458" s="199" t="s">
        <v>45</v>
      </c>
      <c r="N458" s="242"/>
      <c r="O458" s="242"/>
      <c r="P458" s="238"/>
      <c r="Q458" s="237"/>
      <c r="R458" s="174"/>
      <c r="S458" s="249"/>
    </row>
    <row r="459" spans="1:19" s="181" customFormat="1" ht="10.199999999999999" x14ac:dyDescent="0.2">
      <c r="A459" s="237"/>
      <c r="B459" s="244"/>
      <c r="C459" s="244"/>
      <c r="D459" s="244"/>
      <c r="E459" s="236"/>
      <c r="F459" s="244"/>
      <c r="G459" s="244"/>
      <c r="H459" s="244"/>
      <c r="I459" s="244"/>
      <c r="J459" s="244"/>
      <c r="K459" s="238"/>
      <c r="L459" s="238"/>
      <c r="M459" s="199" t="s">
        <v>46</v>
      </c>
      <c r="N459" s="242"/>
      <c r="O459" s="242"/>
      <c r="P459" s="238"/>
      <c r="Q459" s="237"/>
      <c r="R459" s="174"/>
      <c r="S459" s="249"/>
    </row>
    <row r="460" spans="1:19" s="181" customFormat="1" ht="10.199999999999999" x14ac:dyDescent="0.2">
      <c r="A460" s="237"/>
      <c r="B460" s="244"/>
      <c r="C460" s="244"/>
      <c r="D460" s="244"/>
      <c r="E460" s="236"/>
      <c r="F460" s="244"/>
      <c r="G460" s="244"/>
      <c r="H460" s="244"/>
      <c r="I460" s="244"/>
      <c r="J460" s="244"/>
      <c r="K460" s="238"/>
      <c r="L460" s="238"/>
      <c r="M460" s="211" t="s">
        <v>1245</v>
      </c>
      <c r="N460" s="195">
        <v>771.5</v>
      </c>
      <c r="O460" s="195">
        <v>385.77</v>
      </c>
      <c r="P460" s="238"/>
      <c r="Q460" s="237"/>
      <c r="R460" s="174"/>
      <c r="S460" s="249"/>
    </row>
    <row r="461" spans="1:19" s="181" customFormat="1" ht="10.199999999999999" x14ac:dyDescent="0.2">
      <c r="A461" s="237">
        <f>A455+1</f>
        <v>75</v>
      </c>
      <c r="B461" s="259">
        <v>44428</v>
      </c>
      <c r="C461" s="259">
        <v>46253</v>
      </c>
      <c r="D461" s="236" t="s">
        <v>544</v>
      </c>
      <c r="E461" s="236" t="s">
        <v>958</v>
      </c>
      <c r="F461" s="236" t="s">
        <v>957</v>
      </c>
      <c r="G461" s="236" t="s">
        <v>545</v>
      </c>
      <c r="H461" s="236" t="s">
        <v>1030</v>
      </c>
      <c r="I461" s="236" t="s">
        <v>548</v>
      </c>
      <c r="J461" s="236">
        <v>52.3</v>
      </c>
      <c r="K461" s="238">
        <f>S461*6</f>
        <v>20311.646399999998</v>
      </c>
      <c r="L461" s="238">
        <f>S461*3</f>
        <v>10155.823199999999</v>
      </c>
      <c r="M461" s="199" t="s">
        <v>42</v>
      </c>
      <c r="N461" s="241" t="s">
        <v>1177</v>
      </c>
      <c r="O461" s="242"/>
      <c r="P461" s="241" t="s">
        <v>545</v>
      </c>
      <c r="Q461" s="237"/>
      <c r="R461" s="174"/>
      <c r="S461" s="245">
        <f>14.5*J461*1.2*(1+1.2+0.9)*1.2</f>
        <v>3385.2743999999998</v>
      </c>
    </row>
    <row r="462" spans="1:19" s="181" customFormat="1" ht="20.399999999999999" x14ac:dyDescent="0.2">
      <c r="A462" s="237"/>
      <c r="B462" s="236"/>
      <c r="C462" s="244"/>
      <c r="D462" s="244"/>
      <c r="E462" s="236"/>
      <c r="F462" s="244"/>
      <c r="G462" s="244"/>
      <c r="H462" s="244"/>
      <c r="I462" s="244"/>
      <c r="J462" s="244"/>
      <c r="K462" s="238"/>
      <c r="L462" s="238"/>
      <c r="M462" s="199" t="s">
        <v>43</v>
      </c>
      <c r="N462" s="242"/>
      <c r="O462" s="242"/>
      <c r="P462" s="238"/>
      <c r="Q462" s="237"/>
      <c r="R462" s="174"/>
      <c r="S462" s="249"/>
    </row>
    <row r="463" spans="1:19" s="181" customFormat="1" ht="10.199999999999999" x14ac:dyDescent="0.2">
      <c r="A463" s="237"/>
      <c r="B463" s="236"/>
      <c r="C463" s="244"/>
      <c r="D463" s="244"/>
      <c r="E463" s="236"/>
      <c r="F463" s="244"/>
      <c r="G463" s="244"/>
      <c r="H463" s="244"/>
      <c r="I463" s="244"/>
      <c r="J463" s="244"/>
      <c r="K463" s="238"/>
      <c r="L463" s="238"/>
      <c r="M463" s="199" t="s">
        <v>44</v>
      </c>
      <c r="N463" s="242"/>
      <c r="O463" s="242"/>
      <c r="P463" s="238"/>
      <c r="Q463" s="237"/>
      <c r="R463" s="174"/>
      <c r="S463" s="249"/>
    </row>
    <row r="464" spans="1:19" s="181" customFormat="1" ht="10.199999999999999" x14ac:dyDescent="0.2">
      <c r="A464" s="237"/>
      <c r="B464" s="236"/>
      <c r="C464" s="244"/>
      <c r="D464" s="244"/>
      <c r="E464" s="236"/>
      <c r="F464" s="244"/>
      <c r="G464" s="244"/>
      <c r="H464" s="244"/>
      <c r="I464" s="244"/>
      <c r="J464" s="244"/>
      <c r="K464" s="238"/>
      <c r="L464" s="238"/>
      <c r="M464" s="199" t="s">
        <v>45</v>
      </c>
      <c r="N464" s="242"/>
      <c r="O464" s="242"/>
      <c r="P464" s="238"/>
      <c r="Q464" s="237"/>
      <c r="R464" s="174"/>
      <c r="S464" s="249"/>
    </row>
    <row r="465" spans="1:19" s="181" customFormat="1" ht="10.199999999999999" x14ac:dyDescent="0.2">
      <c r="A465" s="237"/>
      <c r="B465" s="236"/>
      <c r="C465" s="244"/>
      <c r="D465" s="244"/>
      <c r="E465" s="236"/>
      <c r="F465" s="244"/>
      <c r="G465" s="244"/>
      <c r="H465" s="244"/>
      <c r="I465" s="244"/>
      <c r="J465" s="244"/>
      <c r="K465" s="238"/>
      <c r="L465" s="238"/>
      <c r="M465" s="199" t="s">
        <v>46</v>
      </c>
      <c r="N465" s="242"/>
      <c r="O465" s="242"/>
      <c r="P465" s="238"/>
      <c r="Q465" s="237"/>
      <c r="R465" s="174"/>
      <c r="S465" s="249"/>
    </row>
    <row r="466" spans="1:19" s="181" customFormat="1" ht="10.199999999999999" x14ac:dyDescent="0.2">
      <c r="A466" s="237"/>
      <c r="B466" s="236"/>
      <c r="C466" s="244"/>
      <c r="D466" s="244"/>
      <c r="E466" s="236"/>
      <c r="F466" s="244"/>
      <c r="G466" s="244"/>
      <c r="H466" s="244"/>
      <c r="I466" s="244"/>
      <c r="J466" s="244"/>
      <c r="K466" s="238"/>
      <c r="L466" s="238"/>
      <c r="M466" s="211" t="s">
        <v>1245</v>
      </c>
      <c r="N466" s="195">
        <v>91.53</v>
      </c>
      <c r="O466" s="195">
        <v>91.53</v>
      </c>
      <c r="P466" s="238"/>
      <c r="Q466" s="237"/>
      <c r="R466" s="174"/>
      <c r="S466" s="249"/>
    </row>
    <row r="467" spans="1:19" s="181" customFormat="1" ht="10.199999999999999" x14ac:dyDescent="0.2">
      <c r="A467" s="237">
        <f>A461+1</f>
        <v>76</v>
      </c>
      <c r="B467" s="259">
        <v>44448</v>
      </c>
      <c r="C467" s="259">
        <v>45543</v>
      </c>
      <c r="D467" s="236" t="s">
        <v>554</v>
      </c>
      <c r="E467" s="236" t="s">
        <v>958</v>
      </c>
      <c r="F467" s="236" t="s">
        <v>957</v>
      </c>
      <c r="G467" s="236" t="s">
        <v>556</v>
      </c>
      <c r="H467" s="236" t="s">
        <v>1246</v>
      </c>
      <c r="I467" s="236" t="s">
        <v>1247</v>
      </c>
      <c r="J467" s="236">
        <v>17.3</v>
      </c>
      <c r="K467" s="238">
        <f>S467*9</f>
        <v>10078.149600000002</v>
      </c>
      <c r="L467" s="238">
        <f>S467*3</f>
        <v>3359.3832000000007</v>
      </c>
      <c r="M467" s="199" t="s">
        <v>42</v>
      </c>
      <c r="N467" s="241" t="s">
        <v>1177</v>
      </c>
      <c r="O467" s="242"/>
      <c r="P467" s="241" t="s">
        <v>556</v>
      </c>
      <c r="Q467" s="237"/>
      <c r="R467" s="174"/>
      <c r="S467" s="245">
        <f>14.5*J467*1.2*(1+1.2+0.9)*1.2</f>
        <v>1119.7944000000002</v>
      </c>
    </row>
    <row r="468" spans="1:19" s="181" customFormat="1" ht="20.399999999999999" x14ac:dyDescent="0.2">
      <c r="A468" s="237"/>
      <c r="B468" s="236"/>
      <c r="C468" s="244"/>
      <c r="D468" s="244"/>
      <c r="E468" s="236"/>
      <c r="F468" s="244"/>
      <c r="G468" s="244"/>
      <c r="H468" s="244"/>
      <c r="I468" s="244"/>
      <c r="J468" s="244"/>
      <c r="K468" s="238"/>
      <c r="L468" s="238"/>
      <c r="M468" s="199" t="s">
        <v>43</v>
      </c>
      <c r="N468" s="242"/>
      <c r="O468" s="242"/>
      <c r="P468" s="238"/>
      <c r="Q468" s="237"/>
      <c r="R468" s="174"/>
      <c r="S468" s="249"/>
    </row>
    <row r="469" spans="1:19" s="181" customFormat="1" ht="10.199999999999999" x14ac:dyDescent="0.2">
      <c r="A469" s="237"/>
      <c r="B469" s="236"/>
      <c r="C469" s="244"/>
      <c r="D469" s="244"/>
      <c r="E469" s="236"/>
      <c r="F469" s="244"/>
      <c r="G469" s="244"/>
      <c r="H469" s="244"/>
      <c r="I469" s="244"/>
      <c r="J469" s="244"/>
      <c r="K469" s="238"/>
      <c r="L469" s="238"/>
      <c r="M469" s="199" t="s">
        <v>44</v>
      </c>
      <c r="N469" s="242"/>
      <c r="O469" s="242"/>
      <c r="P469" s="238"/>
      <c r="Q469" s="237"/>
      <c r="R469" s="174"/>
      <c r="S469" s="249"/>
    </row>
    <row r="470" spans="1:19" s="181" customFormat="1" ht="10.199999999999999" x14ac:dyDescent="0.2">
      <c r="A470" s="237"/>
      <c r="B470" s="236"/>
      <c r="C470" s="244"/>
      <c r="D470" s="244"/>
      <c r="E470" s="236"/>
      <c r="F470" s="244"/>
      <c r="G470" s="244"/>
      <c r="H470" s="244"/>
      <c r="I470" s="244"/>
      <c r="J470" s="244"/>
      <c r="K470" s="238"/>
      <c r="L470" s="238"/>
      <c r="M470" s="199" t="s">
        <v>45</v>
      </c>
      <c r="N470" s="242"/>
      <c r="O470" s="242"/>
      <c r="P470" s="238"/>
      <c r="Q470" s="237"/>
      <c r="R470" s="174"/>
      <c r="S470" s="249"/>
    </row>
    <row r="471" spans="1:19" s="181" customFormat="1" ht="10.199999999999999" x14ac:dyDescent="0.2">
      <c r="A471" s="237"/>
      <c r="B471" s="236"/>
      <c r="C471" s="244"/>
      <c r="D471" s="244"/>
      <c r="E471" s="236"/>
      <c r="F471" s="244"/>
      <c r="G471" s="244"/>
      <c r="H471" s="244"/>
      <c r="I471" s="244"/>
      <c r="J471" s="244"/>
      <c r="K471" s="238"/>
      <c r="L471" s="238"/>
      <c r="M471" s="199" t="s">
        <v>46</v>
      </c>
      <c r="N471" s="242"/>
      <c r="O471" s="242"/>
      <c r="P471" s="238"/>
      <c r="Q471" s="237"/>
      <c r="R471" s="174"/>
      <c r="S471" s="249"/>
    </row>
    <row r="472" spans="1:19" s="181" customFormat="1" ht="10.199999999999999" x14ac:dyDescent="0.2">
      <c r="A472" s="237"/>
      <c r="B472" s="236"/>
      <c r="C472" s="244"/>
      <c r="D472" s="244"/>
      <c r="E472" s="236"/>
      <c r="F472" s="244"/>
      <c r="G472" s="244"/>
      <c r="H472" s="244"/>
      <c r="I472" s="244"/>
      <c r="J472" s="244"/>
      <c r="K472" s="238"/>
      <c r="L472" s="238"/>
      <c r="M472" s="211" t="s">
        <v>1245</v>
      </c>
      <c r="N472" s="195">
        <v>42.04</v>
      </c>
      <c r="O472" s="195">
        <v>42.04</v>
      </c>
      <c r="P472" s="238"/>
      <c r="Q472" s="237"/>
      <c r="R472" s="174"/>
      <c r="S472" s="249"/>
    </row>
    <row r="473" spans="1:19" s="181" customFormat="1" ht="10.199999999999999" x14ac:dyDescent="0.2">
      <c r="A473" s="237">
        <f>A467+1</f>
        <v>77</v>
      </c>
      <c r="B473" s="270">
        <v>44503</v>
      </c>
      <c r="C473" s="259">
        <v>45599</v>
      </c>
      <c r="D473" s="236" t="s">
        <v>560</v>
      </c>
      <c r="E473" s="236" t="s">
        <v>958</v>
      </c>
      <c r="F473" s="236" t="s">
        <v>957</v>
      </c>
      <c r="G473" s="236" t="s">
        <v>376</v>
      </c>
      <c r="H473" s="236" t="s">
        <v>1031</v>
      </c>
      <c r="I473" s="236" t="s">
        <v>563</v>
      </c>
      <c r="J473" s="236">
        <v>10.199999999999999</v>
      </c>
      <c r="K473" s="237">
        <f>S473*9</f>
        <v>640.80000000000007</v>
      </c>
      <c r="L473" s="238">
        <f>S473*3</f>
        <v>213.60000000000002</v>
      </c>
      <c r="M473" s="199" t="s">
        <v>42</v>
      </c>
      <c r="N473" s="241" t="s">
        <v>1197</v>
      </c>
      <c r="O473" s="239"/>
      <c r="P473" s="239"/>
      <c r="Q473" s="236" t="s">
        <v>1261</v>
      </c>
      <c r="R473" s="174"/>
      <c r="S473" s="252">
        <v>71.2</v>
      </c>
    </row>
    <row r="474" spans="1:19" s="181" customFormat="1" ht="20.399999999999999" x14ac:dyDescent="0.2">
      <c r="A474" s="237"/>
      <c r="B474" s="264"/>
      <c r="C474" s="265"/>
      <c r="D474" s="265"/>
      <c r="E474" s="265"/>
      <c r="F474" s="257"/>
      <c r="G474" s="265"/>
      <c r="H474" s="261"/>
      <c r="I474" s="261"/>
      <c r="J474" s="261"/>
      <c r="K474" s="240"/>
      <c r="L474" s="239"/>
      <c r="M474" s="199" t="s">
        <v>43</v>
      </c>
      <c r="N474" s="239"/>
      <c r="O474" s="239"/>
      <c r="P474" s="239"/>
      <c r="Q474" s="236"/>
      <c r="R474" s="174"/>
      <c r="S474" s="399"/>
    </row>
    <row r="475" spans="1:19" s="181" customFormat="1" ht="10.199999999999999" x14ac:dyDescent="0.2">
      <c r="A475" s="237"/>
      <c r="B475" s="257"/>
      <c r="C475" s="257"/>
      <c r="D475" s="257"/>
      <c r="E475" s="251"/>
      <c r="F475" s="257"/>
      <c r="G475" s="257"/>
      <c r="H475" s="236" t="s">
        <v>1032</v>
      </c>
      <c r="I475" s="236" t="s">
        <v>565</v>
      </c>
      <c r="J475" s="236">
        <v>32.200000000000003</v>
      </c>
      <c r="K475" s="240"/>
      <c r="L475" s="239"/>
      <c r="M475" s="199" t="s">
        <v>44</v>
      </c>
      <c r="N475" s="239"/>
      <c r="O475" s="239"/>
      <c r="P475" s="239"/>
      <c r="Q475" s="236"/>
      <c r="R475" s="174"/>
      <c r="S475" s="399"/>
    </row>
    <row r="476" spans="1:19" s="181" customFormat="1" ht="10.199999999999999" x14ac:dyDescent="0.2">
      <c r="A476" s="237"/>
      <c r="B476" s="257"/>
      <c r="C476" s="257"/>
      <c r="D476" s="257"/>
      <c r="E476" s="251"/>
      <c r="F476" s="257"/>
      <c r="G476" s="257"/>
      <c r="H476" s="257"/>
      <c r="I476" s="257"/>
      <c r="J476" s="257"/>
      <c r="K476" s="240"/>
      <c r="L476" s="239"/>
      <c r="M476" s="199" t="s">
        <v>45</v>
      </c>
      <c r="N476" s="239"/>
      <c r="O476" s="239"/>
      <c r="P476" s="239"/>
      <c r="Q476" s="236"/>
      <c r="R476" s="174"/>
      <c r="S476" s="399"/>
    </row>
    <row r="477" spans="1:19" s="181" customFormat="1" ht="10.199999999999999" x14ac:dyDescent="0.2">
      <c r="A477" s="237"/>
      <c r="B477" s="257"/>
      <c r="C477" s="257"/>
      <c r="D477" s="257"/>
      <c r="E477" s="251"/>
      <c r="F477" s="257"/>
      <c r="G477" s="257"/>
      <c r="H477" s="257"/>
      <c r="I477" s="257"/>
      <c r="J477" s="257"/>
      <c r="K477" s="240"/>
      <c r="L477" s="239"/>
      <c r="M477" s="199" t="s">
        <v>46</v>
      </c>
      <c r="N477" s="239"/>
      <c r="O477" s="239"/>
      <c r="P477" s="239"/>
      <c r="Q477" s="236"/>
      <c r="R477" s="174"/>
      <c r="S477" s="399"/>
    </row>
    <row r="478" spans="1:19" s="181" customFormat="1" ht="10.199999999999999" x14ac:dyDescent="0.2">
      <c r="A478" s="237"/>
      <c r="B478" s="257"/>
      <c r="C478" s="257"/>
      <c r="D478" s="257"/>
      <c r="E478" s="251"/>
      <c r="F478" s="257"/>
      <c r="G478" s="257"/>
      <c r="H478" s="257"/>
      <c r="I478" s="257"/>
      <c r="J478" s="257"/>
      <c r="K478" s="240"/>
      <c r="L478" s="239"/>
      <c r="M478" s="211" t="s">
        <v>1245</v>
      </c>
      <c r="N478" s="239"/>
      <c r="O478" s="239"/>
      <c r="P478" s="239"/>
      <c r="Q478" s="236"/>
      <c r="R478" s="174"/>
      <c r="S478" s="399"/>
    </row>
    <row r="479" spans="1:19" s="181" customFormat="1" ht="10.199999999999999" x14ac:dyDescent="0.2">
      <c r="A479" s="237">
        <f>A473+1</f>
        <v>78</v>
      </c>
      <c r="B479" s="259">
        <v>44463</v>
      </c>
      <c r="C479" s="259">
        <v>45192</v>
      </c>
      <c r="D479" s="236" t="s">
        <v>566</v>
      </c>
      <c r="E479" s="236" t="s">
        <v>958</v>
      </c>
      <c r="F479" s="236" t="s">
        <v>957</v>
      </c>
      <c r="G479" s="266" t="s">
        <v>567</v>
      </c>
      <c r="H479" s="236" t="s">
        <v>1033</v>
      </c>
      <c r="I479" s="236" t="s">
        <v>570</v>
      </c>
      <c r="J479" s="236">
        <v>28.8</v>
      </c>
      <c r="K479" s="238">
        <f>S479*9</f>
        <v>11906.611200000001</v>
      </c>
      <c r="L479" s="238">
        <f>S479*3</f>
        <v>3968.8704000000007</v>
      </c>
      <c r="M479" s="199" t="s">
        <v>42</v>
      </c>
      <c r="N479" s="197">
        <v>0</v>
      </c>
      <c r="O479" s="197">
        <v>0</v>
      </c>
      <c r="P479" s="241" t="s">
        <v>567</v>
      </c>
      <c r="Q479" s="237"/>
      <c r="R479" s="174"/>
      <c r="S479" s="245">
        <f>14.5*J479*1.1*(1+0.5+0.9)*1.2</f>
        <v>1322.9568000000002</v>
      </c>
    </row>
    <row r="480" spans="1:19" s="181" customFormat="1" ht="20.399999999999999" x14ac:dyDescent="0.2">
      <c r="A480" s="237"/>
      <c r="B480" s="244"/>
      <c r="C480" s="236"/>
      <c r="D480" s="244"/>
      <c r="E480" s="236"/>
      <c r="F480" s="244"/>
      <c r="G480" s="244"/>
      <c r="H480" s="244"/>
      <c r="I480" s="244"/>
      <c r="J480" s="244"/>
      <c r="K480" s="238"/>
      <c r="L480" s="238"/>
      <c r="M480" s="199" t="s">
        <v>43</v>
      </c>
      <c r="N480" s="197">
        <v>0</v>
      </c>
      <c r="O480" s="197">
        <v>0</v>
      </c>
      <c r="P480" s="238"/>
      <c r="Q480" s="237"/>
      <c r="R480" s="174"/>
      <c r="S480" s="249"/>
    </row>
    <row r="481" spans="1:19" s="181" customFormat="1" ht="10.199999999999999" x14ac:dyDescent="0.2">
      <c r="A481" s="237"/>
      <c r="B481" s="244"/>
      <c r="C481" s="236"/>
      <c r="D481" s="244"/>
      <c r="E481" s="236"/>
      <c r="F481" s="244"/>
      <c r="G481" s="244"/>
      <c r="H481" s="244"/>
      <c r="I481" s="244"/>
      <c r="J481" s="244"/>
      <c r="K481" s="238"/>
      <c r="L481" s="238"/>
      <c r="M481" s="199" t="s">
        <v>44</v>
      </c>
      <c r="N481" s="197">
        <v>0</v>
      </c>
      <c r="O481" s="197">
        <v>0</v>
      </c>
      <c r="P481" s="238"/>
      <c r="Q481" s="237"/>
      <c r="R481" s="174"/>
      <c r="S481" s="249"/>
    </row>
    <row r="482" spans="1:19" s="181" customFormat="1" ht="10.199999999999999" x14ac:dyDescent="0.2">
      <c r="A482" s="237"/>
      <c r="B482" s="244"/>
      <c r="C482" s="236"/>
      <c r="D482" s="244"/>
      <c r="E482" s="236"/>
      <c r="F482" s="244"/>
      <c r="G482" s="244"/>
      <c r="H482" s="244"/>
      <c r="I482" s="244"/>
      <c r="J482" s="244"/>
      <c r="K482" s="238"/>
      <c r="L482" s="238"/>
      <c r="M482" s="199" t="s">
        <v>45</v>
      </c>
      <c r="N482" s="197">
        <v>0</v>
      </c>
      <c r="O482" s="197">
        <v>0</v>
      </c>
      <c r="P482" s="238"/>
      <c r="Q482" s="237"/>
      <c r="R482" s="174"/>
      <c r="S482" s="249"/>
    </row>
    <row r="483" spans="1:19" s="181" customFormat="1" ht="10.199999999999999" x14ac:dyDescent="0.2">
      <c r="A483" s="237"/>
      <c r="B483" s="244"/>
      <c r="C483" s="236"/>
      <c r="D483" s="244"/>
      <c r="E483" s="236"/>
      <c r="F483" s="244"/>
      <c r="G483" s="244"/>
      <c r="H483" s="244"/>
      <c r="I483" s="244"/>
      <c r="J483" s="244"/>
      <c r="K483" s="238"/>
      <c r="L483" s="238"/>
      <c r="M483" s="199" t="s">
        <v>46</v>
      </c>
      <c r="N483" s="197">
        <v>0</v>
      </c>
      <c r="O483" s="197">
        <v>0</v>
      </c>
      <c r="P483" s="238"/>
      <c r="Q483" s="237"/>
      <c r="R483" s="174"/>
      <c r="S483" s="249"/>
    </row>
    <row r="484" spans="1:19" s="181" customFormat="1" ht="10.199999999999999" x14ac:dyDescent="0.2">
      <c r="A484" s="237"/>
      <c r="B484" s="244"/>
      <c r="C484" s="236"/>
      <c r="D484" s="244"/>
      <c r="E484" s="236"/>
      <c r="F484" s="244"/>
      <c r="G484" s="244"/>
      <c r="H484" s="244"/>
      <c r="I484" s="244"/>
      <c r="J484" s="244"/>
      <c r="K484" s="238"/>
      <c r="L484" s="238"/>
      <c r="M484" s="211" t="s">
        <v>1245</v>
      </c>
      <c r="N484" s="197">
        <v>147.80000000000001</v>
      </c>
      <c r="O484" s="197">
        <v>49.25</v>
      </c>
      <c r="P484" s="238"/>
      <c r="Q484" s="237"/>
      <c r="R484" s="174"/>
      <c r="S484" s="249"/>
    </row>
    <row r="485" spans="1:19" s="181" customFormat="1" ht="10.199999999999999" x14ac:dyDescent="0.2">
      <c r="A485" s="237">
        <f>A479+1</f>
        <v>79</v>
      </c>
      <c r="B485" s="259">
        <v>44497</v>
      </c>
      <c r="C485" s="259">
        <v>45592</v>
      </c>
      <c r="D485" s="236" t="s">
        <v>571</v>
      </c>
      <c r="E485" s="236" t="s">
        <v>958</v>
      </c>
      <c r="F485" s="236" t="s">
        <v>957</v>
      </c>
      <c r="G485" s="236" t="s">
        <v>573</v>
      </c>
      <c r="H485" s="236" t="s">
        <v>1034</v>
      </c>
      <c r="I485" s="236" t="s">
        <v>574</v>
      </c>
      <c r="J485" s="236">
        <v>12.7</v>
      </c>
      <c r="K485" s="238">
        <f>S485*9</f>
        <v>520.44638465421497</v>
      </c>
      <c r="L485" s="238">
        <f>S485*3</f>
        <v>173.48212821807167</v>
      </c>
      <c r="M485" s="199" t="s">
        <v>42</v>
      </c>
      <c r="N485" s="202">
        <v>0</v>
      </c>
      <c r="O485" s="202">
        <v>0</v>
      </c>
      <c r="P485" s="241" t="s">
        <v>573</v>
      </c>
      <c r="Q485" s="237"/>
      <c r="R485" s="174"/>
      <c r="S485" s="245">
        <f>14.5*J485*1*(1+1.2+0.5)*1.2*12/1981*16</f>
        <v>57.827376072690555</v>
      </c>
    </row>
    <row r="486" spans="1:19" s="181" customFormat="1" ht="20.399999999999999" x14ac:dyDescent="0.2">
      <c r="A486" s="237"/>
      <c r="B486" s="257"/>
      <c r="C486" s="257"/>
      <c r="D486" s="257"/>
      <c r="E486" s="265"/>
      <c r="F486" s="257"/>
      <c r="G486" s="257"/>
      <c r="H486" s="257"/>
      <c r="I486" s="257"/>
      <c r="J486" s="257"/>
      <c r="K486" s="239"/>
      <c r="L486" s="239"/>
      <c r="M486" s="199" t="s">
        <v>43</v>
      </c>
      <c r="N486" s="202">
        <v>0</v>
      </c>
      <c r="O486" s="202">
        <v>0</v>
      </c>
      <c r="P486" s="239"/>
      <c r="Q486" s="237"/>
      <c r="R486" s="174"/>
      <c r="S486" s="258"/>
    </row>
    <row r="487" spans="1:19" s="181" customFormat="1" ht="10.199999999999999" x14ac:dyDescent="0.2">
      <c r="A487" s="237"/>
      <c r="B487" s="257"/>
      <c r="C487" s="257"/>
      <c r="D487" s="257"/>
      <c r="E487" s="251"/>
      <c r="F487" s="257"/>
      <c r="G487" s="257"/>
      <c r="H487" s="257"/>
      <c r="I487" s="257"/>
      <c r="J487" s="257"/>
      <c r="K487" s="239"/>
      <c r="L487" s="239"/>
      <c r="M487" s="199" t="s">
        <v>44</v>
      </c>
      <c r="N487" s="202">
        <v>0</v>
      </c>
      <c r="O487" s="202">
        <v>0</v>
      </c>
      <c r="P487" s="239"/>
      <c r="Q487" s="237"/>
      <c r="R487" s="174"/>
      <c r="S487" s="258"/>
    </row>
    <row r="488" spans="1:19" s="181" customFormat="1" ht="10.199999999999999" x14ac:dyDescent="0.2">
      <c r="A488" s="237"/>
      <c r="B488" s="257"/>
      <c r="C488" s="257"/>
      <c r="D488" s="257"/>
      <c r="E488" s="251"/>
      <c r="F488" s="257"/>
      <c r="G488" s="257"/>
      <c r="H488" s="257"/>
      <c r="I488" s="257"/>
      <c r="J488" s="257"/>
      <c r="K488" s="239"/>
      <c r="L488" s="239"/>
      <c r="M488" s="199" t="s">
        <v>45</v>
      </c>
      <c r="N488" s="202">
        <v>0</v>
      </c>
      <c r="O488" s="202">
        <v>0</v>
      </c>
      <c r="P488" s="239"/>
      <c r="Q488" s="237"/>
      <c r="R488" s="174"/>
      <c r="S488" s="258"/>
    </row>
    <row r="489" spans="1:19" s="181" customFormat="1" ht="10.199999999999999" x14ac:dyDescent="0.2">
      <c r="A489" s="237"/>
      <c r="B489" s="257"/>
      <c r="C489" s="257"/>
      <c r="D489" s="257"/>
      <c r="E489" s="251"/>
      <c r="F489" s="257"/>
      <c r="G489" s="257"/>
      <c r="H489" s="257"/>
      <c r="I489" s="257"/>
      <c r="J489" s="257"/>
      <c r="K489" s="239"/>
      <c r="L489" s="239"/>
      <c r="M489" s="199" t="s">
        <v>46</v>
      </c>
      <c r="N489" s="202">
        <v>0</v>
      </c>
      <c r="O489" s="202">
        <v>0</v>
      </c>
      <c r="P489" s="239"/>
      <c r="Q489" s="237"/>
      <c r="R489" s="174"/>
      <c r="S489" s="258"/>
    </row>
    <row r="490" spans="1:19" s="181" customFormat="1" ht="10.199999999999999" x14ac:dyDescent="0.2">
      <c r="A490" s="237"/>
      <c r="B490" s="257"/>
      <c r="C490" s="257"/>
      <c r="D490" s="257"/>
      <c r="E490" s="251"/>
      <c r="F490" s="257"/>
      <c r="G490" s="257"/>
      <c r="H490" s="257"/>
      <c r="I490" s="257"/>
      <c r="J490" s="257"/>
      <c r="K490" s="239"/>
      <c r="L490" s="239"/>
      <c r="M490" s="211" t="s">
        <v>1245</v>
      </c>
      <c r="N490" s="197">
        <v>0</v>
      </c>
      <c r="O490" s="197">
        <v>0</v>
      </c>
      <c r="P490" s="239"/>
      <c r="Q490" s="237"/>
      <c r="R490" s="174"/>
      <c r="S490" s="258"/>
    </row>
    <row r="491" spans="1:19" s="181" customFormat="1" ht="10.199999999999999" x14ac:dyDescent="0.2">
      <c r="A491" s="237">
        <f>A485+1</f>
        <v>80</v>
      </c>
      <c r="B491" s="259">
        <v>44546</v>
      </c>
      <c r="C491" s="270">
        <v>45641</v>
      </c>
      <c r="D491" s="236" t="s">
        <v>1035</v>
      </c>
      <c r="E491" s="236" t="s">
        <v>958</v>
      </c>
      <c r="F491" s="236" t="s">
        <v>957</v>
      </c>
      <c r="G491" s="236" t="s">
        <v>582</v>
      </c>
      <c r="H491" s="236" t="s">
        <v>1036</v>
      </c>
      <c r="I491" s="236" t="s">
        <v>585</v>
      </c>
      <c r="J491" s="236">
        <v>60</v>
      </c>
      <c r="K491" s="238">
        <f>S491*9</f>
        <v>22550.399999999998</v>
      </c>
      <c r="L491" s="238">
        <f>S491*3</f>
        <v>7516.7999999999993</v>
      </c>
      <c r="M491" s="199" t="s">
        <v>42</v>
      </c>
      <c r="N491" s="241" t="s">
        <v>1142</v>
      </c>
      <c r="O491" s="242"/>
      <c r="P491" s="241" t="s">
        <v>582</v>
      </c>
      <c r="Q491" s="237"/>
      <c r="R491" s="174"/>
      <c r="S491" s="245">
        <f>14.5*J491*1.2*(1+0.1+0.9)*1.2</f>
        <v>2505.6</v>
      </c>
    </row>
    <row r="492" spans="1:19" s="181" customFormat="1" ht="20.399999999999999" x14ac:dyDescent="0.2">
      <c r="A492" s="237"/>
      <c r="B492" s="244"/>
      <c r="C492" s="244"/>
      <c r="D492" s="244"/>
      <c r="E492" s="236"/>
      <c r="F492" s="244"/>
      <c r="G492" s="244"/>
      <c r="H492" s="244"/>
      <c r="I492" s="244"/>
      <c r="J492" s="244"/>
      <c r="K492" s="238"/>
      <c r="L492" s="238"/>
      <c r="M492" s="199" t="s">
        <v>43</v>
      </c>
      <c r="N492" s="242"/>
      <c r="O492" s="242"/>
      <c r="P492" s="238"/>
      <c r="Q492" s="237"/>
      <c r="R492" s="174"/>
      <c r="S492" s="249"/>
    </row>
    <row r="493" spans="1:19" s="181" customFormat="1" ht="10.199999999999999" x14ac:dyDescent="0.2">
      <c r="A493" s="237"/>
      <c r="B493" s="244"/>
      <c r="C493" s="244"/>
      <c r="D493" s="244"/>
      <c r="E493" s="236"/>
      <c r="F493" s="244"/>
      <c r="G493" s="244"/>
      <c r="H493" s="244"/>
      <c r="I493" s="244"/>
      <c r="J493" s="244"/>
      <c r="K493" s="238"/>
      <c r="L493" s="238"/>
      <c r="M493" s="199" t="s">
        <v>44</v>
      </c>
      <c r="N493" s="242"/>
      <c r="O493" s="242"/>
      <c r="P493" s="238"/>
      <c r="Q493" s="237"/>
      <c r="R493" s="174"/>
      <c r="S493" s="249"/>
    </row>
    <row r="494" spans="1:19" s="181" customFormat="1" ht="10.199999999999999" x14ac:dyDescent="0.2">
      <c r="A494" s="237"/>
      <c r="B494" s="244"/>
      <c r="C494" s="244"/>
      <c r="D494" s="244"/>
      <c r="E494" s="236"/>
      <c r="F494" s="244"/>
      <c r="G494" s="244"/>
      <c r="H494" s="244"/>
      <c r="I494" s="244"/>
      <c r="J494" s="244"/>
      <c r="K494" s="238"/>
      <c r="L494" s="238"/>
      <c r="M494" s="199" t="s">
        <v>45</v>
      </c>
      <c r="N494" s="242"/>
      <c r="O494" s="242"/>
      <c r="P494" s="238"/>
      <c r="Q494" s="237"/>
      <c r="R494" s="174"/>
      <c r="S494" s="249"/>
    </row>
    <row r="495" spans="1:19" s="181" customFormat="1" ht="10.199999999999999" x14ac:dyDescent="0.2">
      <c r="A495" s="237"/>
      <c r="B495" s="244"/>
      <c r="C495" s="244"/>
      <c r="D495" s="244"/>
      <c r="E495" s="236"/>
      <c r="F495" s="244"/>
      <c r="G495" s="244"/>
      <c r="H495" s="244"/>
      <c r="I495" s="244"/>
      <c r="J495" s="244"/>
      <c r="K495" s="238"/>
      <c r="L495" s="238"/>
      <c r="M495" s="199" t="s">
        <v>46</v>
      </c>
      <c r="N495" s="242"/>
      <c r="O495" s="242"/>
      <c r="P495" s="238"/>
      <c r="Q495" s="237"/>
      <c r="R495" s="174"/>
      <c r="S495" s="249"/>
    </row>
    <row r="496" spans="1:19" s="181" customFormat="1" ht="10.199999999999999" x14ac:dyDescent="0.2">
      <c r="A496" s="237"/>
      <c r="B496" s="244"/>
      <c r="C496" s="244"/>
      <c r="D496" s="244"/>
      <c r="E496" s="236"/>
      <c r="F496" s="244"/>
      <c r="G496" s="244"/>
      <c r="H496" s="244"/>
      <c r="I496" s="244"/>
      <c r="J496" s="244"/>
      <c r="K496" s="238"/>
      <c r="L496" s="238"/>
      <c r="M496" s="211" t="s">
        <v>1245</v>
      </c>
      <c r="N496" s="195">
        <v>102.6</v>
      </c>
      <c r="O496" s="195">
        <v>102.6</v>
      </c>
      <c r="P496" s="238"/>
      <c r="Q496" s="237"/>
      <c r="R496" s="174"/>
      <c r="S496" s="249"/>
    </row>
    <row r="497" spans="1:19" s="181" customFormat="1" x14ac:dyDescent="0.2">
      <c r="A497" s="237">
        <f>A491+1</f>
        <v>81</v>
      </c>
      <c r="B497" s="243">
        <v>44523</v>
      </c>
      <c r="C497" s="243">
        <v>46348</v>
      </c>
      <c r="D497" s="236" t="s">
        <v>762</v>
      </c>
      <c r="E497" s="236" t="s">
        <v>1040</v>
      </c>
      <c r="F497" s="236" t="s">
        <v>957</v>
      </c>
      <c r="G497" s="247" t="s">
        <v>763</v>
      </c>
      <c r="H497" s="266" t="s">
        <v>1037</v>
      </c>
      <c r="I497" s="236" t="s">
        <v>767</v>
      </c>
      <c r="J497" s="266">
        <v>37.1</v>
      </c>
      <c r="K497" s="238">
        <f>S497*9</f>
        <v>3369.7188000000006</v>
      </c>
      <c r="L497" s="238">
        <f>S497*3</f>
        <v>1123.2396000000003</v>
      </c>
      <c r="M497" s="199" t="s">
        <v>42</v>
      </c>
      <c r="N497" s="241" t="s">
        <v>1167</v>
      </c>
      <c r="O497" s="251"/>
      <c r="P497" s="250" t="s">
        <v>763</v>
      </c>
      <c r="Q497" s="237"/>
      <c r="R497" s="174"/>
      <c r="S497" s="245">
        <f>14.5*J497*1.2*(1+1+0.9)*0.2</f>
        <v>374.41320000000007</v>
      </c>
    </row>
    <row r="498" spans="1:19" s="181" customFormat="1" ht="20.399999999999999" x14ac:dyDescent="0.2">
      <c r="A498" s="237"/>
      <c r="B498" s="257"/>
      <c r="C498" s="257"/>
      <c r="D498" s="257"/>
      <c r="E498" s="265"/>
      <c r="F498" s="257"/>
      <c r="G498" s="257"/>
      <c r="H498" s="257"/>
      <c r="I498" s="257"/>
      <c r="J498" s="257"/>
      <c r="K498" s="239"/>
      <c r="L498" s="239"/>
      <c r="M498" s="199" t="s">
        <v>43</v>
      </c>
      <c r="N498" s="197">
        <v>0</v>
      </c>
      <c r="O498" s="197">
        <v>0</v>
      </c>
      <c r="P498" s="239"/>
      <c r="Q498" s="237"/>
      <c r="R498" s="174"/>
      <c r="S498" s="258"/>
    </row>
    <row r="499" spans="1:19" s="181" customFormat="1" ht="10.199999999999999" x14ac:dyDescent="0.2">
      <c r="A499" s="237"/>
      <c r="B499" s="257"/>
      <c r="C499" s="257"/>
      <c r="D499" s="257"/>
      <c r="E499" s="251"/>
      <c r="F499" s="257"/>
      <c r="G499" s="257"/>
      <c r="H499" s="257"/>
      <c r="I499" s="257"/>
      <c r="J499" s="257"/>
      <c r="K499" s="239"/>
      <c r="L499" s="239"/>
      <c r="M499" s="199" t="s">
        <v>44</v>
      </c>
      <c r="N499" s="197">
        <v>0</v>
      </c>
      <c r="O499" s="197">
        <v>0</v>
      </c>
      <c r="P499" s="239"/>
      <c r="Q499" s="237"/>
      <c r="R499" s="174"/>
      <c r="S499" s="258"/>
    </row>
    <row r="500" spans="1:19" s="181" customFormat="1" ht="10.199999999999999" x14ac:dyDescent="0.2">
      <c r="A500" s="237"/>
      <c r="B500" s="257"/>
      <c r="C500" s="257"/>
      <c r="D500" s="257"/>
      <c r="E500" s="251"/>
      <c r="F500" s="257"/>
      <c r="G500" s="257"/>
      <c r="H500" s="257"/>
      <c r="I500" s="257"/>
      <c r="J500" s="257"/>
      <c r="K500" s="239"/>
      <c r="L500" s="239"/>
      <c r="M500" s="199" t="s">
        <v>45</v>
      </c>
      <c r="N500" s="197">
        <v>0</v>
      </c>
      <c r="O500" s="197">
        <v>0</v>
      </c>
      <c r="P500" s="239"/>
      <c r="Q500" s="237"/>
      <c r="R500" s="174"/>
      <c r="S500" s="258"/>
    </row>
    <row r="501" spans="1:19" s="181" customFormat="1" ht="10.199999999999999" x14ac:dyDescent="0.2">
      <c r="A501" s="237"/>
      <c r="B501" s="257"/>
      <c r="C501" s="257"/>
      <c r="D501" s="257"/>
      <c r="E501" s="251"/>
      <c r="F501" s="257"/>
      <c r="G501" s="257"/>
      <c r="H501" s="257"/>
      <c r="I501" s="257"/>
      <c r="J501" s="257"/>
      <c r="K501" s="239"/>
      <c r="L501" s="239"/>
      <c r="M501" s="199" t="s">
        <v>46</v>
      </c>
      <c r="N501" s="197">
        <v>0</v>
      </c>
      <c r="O501" s="197">
        <v>0</v>
      </c>
      <c r="P501" s="239"/>
      <c r="Q501" s="237"/>
      <c r="R501" s="174"/>
      <c r="S501" s="258"/>
    </row>
    <row r="502" spans="1:19" s="181" customFormat="1" x14ac:dyDescent="0.2">
      <c r="A502" s="237"/>
      <c r="B502" s="257"/>
      <c r="C502" s="257"/>
      <c r="D502" s="257"/>
      <c r="E502" s="251"/>
      <c r="F502" s="257"/>
      <c r="G502" s="257"/>
      <c r="H502" s="257"/>
      <c r="I502" s="257"/>
      <c r="J502" s="257"/>
      <c r="K502" s="239"/>
      <c r="L502" s="239"/>
      <c r="M502" s="211" t="s">
        <v>1245</v>
      </c>
      <c r="N502" s="238" t="s">
        <v>1177</v>
      </c>
      <c r="O502" s="284"/>
      <c r="P502" s="239"/>
      <c r="Q502" s="237"/>
      <c r="R502" s="174"/>
      <c r="S502" s="258"/>
    </row>
    <row r="503" spans="1:19" s="181" customFormat="1" ht="10.199999999999999" x14ac:dyDescent="0.2">
      <c r="A503" s="237">
        <f>A497+1</f>
        <v>82</v>
      </c>
      <c r="B503" s="243">
        <v>43741</v>
      </c>
      <c r="C503" s="243">
        <v>44836</v>
      </c>
      <c r="D503" s="236" t="s">
        <v>768</v>
      </c>
      <c r="E503" s="236" t="s">
        <v>1040</v>
      </c>
      <c r="F503" s="236" t="s">
        <v>957</v>
      </c>
      <c r="G503" s="247" t="s">
        <v>770</v>
      </c>
      <c r="H503" s="266" t="s">
        <v>1212</v>
      </c>
      <c r="I503" s="236" t="s">
        <v>1271</v>
      </c>
      <c r="J503" s="266">
        <v>16.3</v>
      </c>
      <c r="K503" s="238">
        <f>S503*9</f>
        <v>9495.597600000001</v>
      </c>
      <c r="L503" s="238">
        <f>S503*3</f>
        <v>3165.1992000000005</v>
      </c>
      <c r="M503" s="199" t="s">
        <v>42</v>
      </c>
      <c r="N503" s="197">
        <v>0</v>
      </c>
      <c r="O503" s="197">
        <v>0</v>
      </c>
      <c r="P503" s="250" t="s">
        <v>770</v>
      </c>
      <c r="Q503" s="237"/>
      <c r="R503" s="174"/>
      <c r="S503" s="245">
        <f>14.5*J503*1.2*(1+1.2+0.9)*1.2</f>
        <v>1055.0664000000002</v>
      </c>
    </row>
    <row r="504" spans="1:19" s="181" customFormat="1" ht="20.399999999999999" x14ac:dyDescent="0.2">
      <c r="A504" s="237"/>
      <c r="B504" s="257"/>
      <c r="C504" s="251"/>
      <c r="D504" s="257"/>
      <c r="E504" s="265"/>
      <c r="F504" s="257"/>
      <c r="G504" s="257"/>
      <c r="H504" s="257"/>
      <c r="I504" s="257"/>
      <c r="J504" s="257"/>
      <c r="K504" s="239"/>
      <c r="L504" s="239"/>
      <c r="M504" s="199" t="s">
        <v>43</v>
      </c>
      <c r="N504" s="197">
        <v>0</v>
      </c>
      <c r="O504" s="197">
        <v>0</v>
      </c>
      <c r="P504" s="239"/>
      <c r="Q504" s="237"/>
      <c r="R504" s="174"/>
      <c r="S504" s="258"/>
    </row>
    <row r="505" spans="1:19" s="181" customFormat="1" ht="10.199999999999999" x14ac:dyDescent="0.2">
      <c r="A505" s="237"/>
      <c r="B505" s="257"/>
      <c r="C505" s="251"/>
      <c r="D505" s="257"/>
      <c r="E505" s="251"/>
      <c r="F505" s="257"/>
      <c r="G505" s="257"/>
      <c r="H505" s="257"/>
      <c r="I505" s="257"/>
      <c r="J505" s="257"/>
      <c r="K505" s="239"/>
      <c r="L505" s="239"/>
      <c r="M505" s="199" t="s">
        <v>44</v>
      </c>
      <c r="N505" s="197">
        <v>0</v>
      </c>
      <c r="O505" s="197">
        <v>0</v>
      </c>
      <c r="P505" s="239"/>
      <c r="Q505" s="237"/>
      <c r="R505" s="174"/>
      <c r="S505" s="258"/>
    </row>
    <row r="506" spans="1:19" s="181" customFormat="1" ht="10.199999999999999" x14ac:dyDescent="0.2">
      <c r="A506" s="237"/>
      <c r="B506" s="257"/>
      <c r="C506" s="251"/>
      <c r="D506" s="257"/>
      <c r="E506" s="251"/>
      <c r="F506" s="257"/>
      <c r="G506" s="257"/>
      <c r="H506" s="257"/>
      <c r="I506" s="257"/>
      <c r="J506" s="257"/>
      <c r="K506" s="239"/>
      <c r="L506" s="239"/>
      <c r="M506" s="199" t="s">
        <v>45</v>
      </c>
      <c r="N506" s="197">
        <v>0</v>
      </c>
      <c r="O506" s="197">
        <v>0</v>
      </c>
      <c r="P506" s="239"/>
      <c r="Q506" s="237"/>
      <c r="R506" s="174"/>
      <c r="S506" s="258"/>
    </row>
    <row r="507" spans="1:19" s="181" customFormat="1" ht="10.199999999999999" x14ac:dyDescent="0.2">
      <c r="A507" s="237"/>
      <c r="B507" s="257"/>
      <c r="C507" s="251"/>
      <c r="D507" s="257"/>
      <c r="E507" s="251"/>
      <c r="F507" s="257"/>
      <c r="G507" s="257"/>
      <c r="H507" s="257"/>
      <c r="I507" s="257"/>
      <c r="J507" s="257"/>
      <c r="K507" s="239"/>
      <c r="L507" s="239"/>
      <c r="M507" s="199" t="s">
        <v>46</v>
      </c>
      <c r="N507" s="197">
        <v>0</v>
      </c>
      <c r="O507" s="197">
        <v>0</v>
      </c>
      <c r="P507" s="239"/>
      <c r="Q507" s="237"/>
      <c r="R507" s="174"/>
      <c r="S507" s="258"/>
    </row>
    <row r="508" spans="1:19" s="181" customFormat="1" x14ac:dyDescent="0.2">
      <c r="A508" s="237"/>
      <c r="B508" s="257"/>
      <c r="C508" s="251"/>
      <c r="D508" s="257"/>
      <c r="E508" s="251"/>
      <c r="F508" s="257"/>
      <c r="G508" s="257"/>
      <c r="H508" s="257"/>
      <c r="I508" s="257"/>
      <c r="J508" s="257"/>
      <c r="K508" s="239"/>
      <c r="L508" s="239"/>
      <c r="M508" s="211" t="s">
        <v>1245</v>
      </c>
      <c r="N508" s="237" t="s">
        <v>1177</v>
      </c>
      <c r="O508" s="284"/>
      <c r="P508" s="239"/>
      <c r="Q508" s="237"/>
      <c r="R508" s="174"/>
      <c r="S508" s="258"/>
    </row>
    <row r="509" spans="1:19" s="181" customFormat="1" ht="10.199999999999999" x14ac:dyDescent="0.2">
      <c r="A509" s="237">
        <f>A503+1</f>
        <v>83</v>
      </c>
      <c r="B509" s="259">
        <v>43263</v>
      </c>
      <c r="C509" s="259">
        <v>46915</v>
      </c>
      <c r="D509" s="236" t="s">
        <v>786</v>
      </c>
      <c r="E509" s="236" t="s">
        <v>1039</v>
      </c>
      <c r="F509" s="236" t="s">
        <v>957</v>
      </c>
      <c r="G509" s="236" t="s">
        <v>787</v>
      </c>
      <c r="H509" s="236" t="s">
        <v>1038</v>
      </c>
      <c r="I509" s="236" t="s">
        <v>790</v>
      </c>
      <c r="J509" s="236">
        <v>47.6</v>
      </c>
      <c r="K509" s="238">
        <f>S509*9</f>
        <v>27729.475200000004</v>
      </c>
      <c r="L509" s="238">
        <f>S509*3</f>
        <v>9243.1584000000003</v>
      </c>
      <c r="M509" s="199" t="s">
        <v>42</v>
      </c>
      <c r="N509" s="201">
        <v>36.58</v>
      </c>
      <c r="O509" s="201">
        <v>19.02</v>
      </c>
      <c r="P509" s="241" t="s">
        <v>787</v>
      </c>
      <c r="Q509" s="236"/>
      <c r="R509" s="174"/>
      <c r="S509" s="245">
        <f>14.5*J509*1.2*(1+1.2+0.9)*1.2</f>
        <v>3081.0528000000004</v>
      </c>
    </row>
    <row r="510" spans="1:19" s="181" customFormat="1" ht="20.399999999999999" x14ac:dyDescent="0.2">
      <c r="A510" s="237"/>
      <c r="B510" s="257"/>
      <c r="C510" s="257"/>
      <c r="D510" s="257"/>
      <c r="E510" s="265"/>
      <c r="F510" s="257"/>
      <c r="G510" s="257"/>
      <c r="H510" s="257"/>
      <c r="I510" s="257"/>
      <c r="J510" s="257"/>
      <c r="K510" s="239"/>
      <c r="L510" s="239"/>
      <c r="M510" s="199" t="s">
        <v>43</v>
      </c>
      <c r="N510" s="201">
        <v>61.9</v>
      </c>
      <c r="O510" s="201">
        <v>15.02</v>
      </c>
      <c r="P510" s="239"/>
      <c r="Q510" s="236"/>
      <c r="R510" s="174"/>
      <c r="S510" s="258"/>
    </row>
    <row r="511" spans="1:19" s="181" customFormat="1" ht="10.199999999999999" x14ac:dyDescent="0.2">
      <c r="A511" s="237"/>
      <c r="B511" s="257"/>
      <c r="C511" s="257"/>
      <c r="D511" s="257"/>
      <c r="E511" s="251"/>
      <c r="F511" s="257"/>
      <c r="G511" s="257"/>
      <c r="H511" s="257"/>
      <c r="I511" s="257"/>
      <c r="J511" s="257"/>
      <c r="K511" s="239"/>
      <c r="L511" s="239"/>
      <c r="M511" s="199" t="s">
        <v>44</v>
      </c>
      <c r="N511" s="201"/>
      <c r="O511" s="201"/>
      <c r="P511" s="239"/>
      <c r="Q511" s="236"/>
      <c r="R511" s="174"/>
      <c r="S511" s="258"/>
    </row>
    <row r="512" spans="1:19" s="181" customFormat="1" ht="10.199999999999999" x14ac:dyDescent="0.2">
      <c r="A512" s="237"/>
      <c r="B512" s="257"/>
      <c r="C512" s="257"/>
      <c r="D512" s="257"/>
      <c r="E512" s="251"/>
      <c r="F512" s="257"/>
      <c r="G512" s="257"/>
      <c r="H512" s="257"/>
      <c r="I512" s="257"/>
      <c r="J512" s="257"/>
      <c r="K512" s="239"/>
      <c r="L512" s="239"/>
      <c r="M512" s="199" t="s">
        <v>45</v>
      </c>
      <c r="N512" s="201">
        <v>10.01</v>
      </c>
      <c r="O512" s="201">
        <v>6.44</v>
      </c>
      <c r="P512" s="239"/>
      <c r="Q512" s="236"/>
      <c r="R512" s="174"/>
      <c r="S512" s="258"/>
    </row>
    <row r="513" spans="1:19" s="181" customFormat="1" ht="10.199999999999999" x14ac:dyDescent="0.2">
      <c r="A513" s="237"/>
      <c r="B513" s="257"/>
      <c r="C513" s="257"/>
      <c r="D513" s="257"/>
      <c r="E513" s="251"/>
      <c r="F513" s="257"/>
      <c r="G513" s="257"/>
      <c r="H513" s="257"/>
      <c r="I513" s="257"/>
      <c r="J513" s="257"/>
      <c r="K513" s="239"/>
      <c r="L513" s="239"/>
      <c r="M513" s="199" t="s">
        <v>46</v>
      </c>
      <c r="N513" s="201">
        <v>26.27</v>
      </c>
      <c r="O513" s="201">
        <v>10.3</v>
      </c>
      <c r="P513" s="239"/>
      <c r="Q513" s="236"/>
      <c r="R513" s="174"/>
      <c r="S513" s="258"/>
    </row>
    <row r="514" spans="1:19" s="181" customFormat="1" x14ac:dyDescent="0.2">
      <c r="A514" s="237"/>
      <c r="B514" s="257"/>
      <c r="C514" s="257"/>
      <c r="D514" s="257"/>
      <c r="E514" s="251"/>
      <c r="F514" s="257"/>
      <c r="G514" s="257"/>
      <c r="H514" s="257"/>
      <c r="I514" s="257"/>
      <c r="J514" s="257"/>
      <c r="K514" s="239"/>
      <c r="L514" s="239"/>
      <c r="M514" s="211" t="s">
        <v>1245</v>
      </c>
      <c r="N514" s="237" t="s">
        <v>1177</v>
      </c>
      <c r="O514" s="284"/>
      <c r="P514" s="239"/>
      <c r="Q514" s="236"/>
      <c r="R514" s="174"/>
      <c r="S514" s="258"/>
    </row>
    <row r="515" spans="1:19" s="181" customFormat="1" ht="10.199999999999999" x14ac:dyDescent="0.2">
      <c r="A515" s="237">
        <f>A509+1</f>
        <v>84</v>
      </c>
      <c r="B515" s="259">
        <v>43804</v>
      </c>
      <c r="C515" s="259">
        <v>52936</v>
      </c>
      <c r="D515" s="236" t="s">
        <v>1275</v>
      </c>
      <c r="E515" s="236" t="s">
        <v>1039</v>
      </c>
      <c r="F515" s="236" t="s">
        <v>957</v>
      </c>
      <c r="G515" s="236" t="s">
        <v>804</v>
      </c>
      <c r="H515" s="236" t="s">
        <v>1163</v>
      </c>
      <c r="I515" s="236" t="s">
        <v>807</v>
      </c>
      <c r="J515" s="236">
        <v>464.2</v>
      </c>
      <c r="K515" s="238">
        <f>S515*9</f>
        <v>47977.855199999998</v>
      </c>
      <c r="L515" s="238">
        <f>S515*3</f>
        <v>15992.618399999999</v>
      </c>
      <c r="M515" s="199" t="s">
        <v>42</v>
      </c>
      <c r="N515" s="197">
        <v>13822.57</v>
      </c>
      <c r="O515" s="197">
        <v>0</v>
      </c>
      <c r="P515" s="241" t="s">
        <v>1198</v>
      </c>
      <c r="Q515" s="236" t="s">
        <v>1261</v>
      </c>
      <c r="R515" s="174"/>
      <c r="S515" s="245">
        <f>14.5*J515*1.2*(1+1.2+1.1)*0.2</f>
        <v>5330.8728000000001</v>
      </c>
    </row>
    <row r="516" spans="1:19" s="181" customFormat="1" ht="20.399999999999999" x14ac:dyDescent="0.2">
      <c r="A516" s="237"/>
      <c r="B516" s="257"/>
      <c r="C516" s="257"/>
      <c r="D516" s="257"/>
      <c r="E516" s="265"/>
      <c r="F516" s="257"/>
      <c r="G516" s="257"/>
      <c r="H516" s="257"/>
      <c r="I516" s="257"/>
      <c r="J516" s="257"/>
      <c r="K516" s="239"/>
      <c r="L516" s="239"/>
      <c r="M516" s="199" t="s">
        <v>43</v>
      </c>
      <c r="N516" s="197">
        <v>10019.959999999999</v>
      </c>
      <c r="O516" s="197">
        <v>0</v>
      </c>
      <c r="P516" s="239"/>
      <c r="Q516" s="236"/>
      <c r="R516" s="174"/>
      <c r="S516" s="258"/>
    </row>
    <row r="517" spans="1:19" s="181" customFormat="1" ht="10.199999999999999" x14ac:dyDescent="0.2">
      <c r="A517" s="237"/>
      <c r="B517" s="257"/>
      <c r="C517" s="257"/>
      <c r="D517" s="257"/>
      <c r="E517" s="251"/>
      <c r="F517" s="257"/>
      <c r="G517" s="257"/>
      <c r="H517" s="257"/>
      <c r="I517" s="257"/>
      <c r="J517" s="257"/>
      <c r="K517" s="239"/>
      <c r="L517" s="239"/>
      <c r="M517" s="199" t="s">
        <v>44</v>
      </c>
      <c r="N517" s="197">
        <v>0</v>
      </c>
      <c r="O517" s="197">
        <v>0</v>
      </c>
      <c r="P517" s="239"/>
      <c r="Q517" s="236"/>
      <c r="R517" s="174"/>
      <c r="S517" s="258"/>
    </row>
    <row r="518" spans="1:19" s="181" customFormat="1" ht="10.199999999999999" x14ac:dyDescent="0.2">
      <c r="A518" s="237"/>
      <c r="B518" s="257"/>
      <c r="C518" s="257"/>
      <c r="D518" s="257"/>
      <c r="E518" s="251"/>
      <c r="F518" s="257"/>
      <c r="G518" s="257"/>
      <c r="H518" s="257"/>
      <c r="I518" s="257"/>
      <c r="J518" s="257"/>
      <c r="K518" s="239"/>
      <c r="L518" s="239"/>
      <c r="M518" s="199" t="s">
        <v>45</v>
      </c>
      <c r="N518" s="197">
        <v>0</v>
      </c>
      <c r="O518" s="197">
        <v>0</v>
      </c>
      <c r="P518" s="239"/>
      <c r="Q518" s="236"/>
      <c r="R518" s="174"/>
      <c r="S518" s="258"/>
    </row>
    <row r="519" spans="1:19" s="181" customFormat="1" ht="10.199999999999999" x14ac:dyDescent="0.2">
      <c r="A519" s="237"/>
      <c r="B519" s="257"/>
      <c r="C519" s="257"/>
      <c r="D519" s="257"/>
      <c r="E519" s="251"/>
      <c r="F519" s="257"/>
      <c r="G519" s="257"/>
      <c r="H519" s="257"/>
      <c r="I519" s="257"/>
      <c r="J519" s="257"/>
      <c r="K519" s="239"/>
      <c r="L519" s="239"/>
      <c r="M519" s="199" t="s">
        <v>46</v>
      </c>
      <c r="N519" s="197">
        <v>0</v>
      </c>
      <c r="O519" s="197">
        <v>0</v>
      </c>
      <c r="P519" s="239"/>
      <c r="Q519" s="236"/>
      <c r="R519" s="174"/>
      <c r="S519" s="258"/>
    </row>
    <row r="520" spans="1:19" s="181" customFormat="1" x14ac:dyDescent="0.2">
      <c r="A520" s="237"/>
      <c r="B520" s="257"/>
      <c r="C520" s="257"/>
      <c r="D520" s="257"/>
      <c r="E520" s="251"/>
      <c r="F520" s="257"/>
      <c r="G520" s="257"/>
      <c r="H520" s="257"/>
      <c r="I520" s="257"/>
      <c r="J520" s="257"/>
      <c r="K520" s="239"/>
      <c r="L520" s="239"/>
      <c r="M520" s="211" t="s">
        <v>1245</v>
      </c>
      <c r="N520" s="237" t="s">
        <v>1177</v>
      </c>
      <c r="O520" s="284"/>
      <c r="P520" s="239"/>
      <c r="Q520" s="236"/>
      <c r="R520" s="174"/>
      <c r="S520" s="258"/>
    </row>
    <row r="521" spans="1:19" s="181" customFormat="1" ht="10.199999999999999" x14ac:dyDescent="0.2">
      <c r="A521" s="237">
        <f>A515+1</f>
        <v>85</v>
      </c>
      <c r="B521" s="259">
        <v>44033</v>
      </c>
      <c r="C521" s="259">
        <v>45058</v>
      </c>
      <c r="D521" s="236" t="s">
        <v>1262</v>
      </c>
      <c r="E521" s="236" t="s">
        <v>1041</v>
      </c>
      <c r="F521" s="236" t="s">
        <v>957</v>
      </c>
      <c r="G521" s="236" t="s">
        <v>840</v>
      </c>
      <c r="H521" s="236" t="s">
        <v>1042</v>
      </c>
      <c r="I521" s="236" t="s">
        <v>1259</v>
      </c>
      <c r="J521" s="236">
        <v>14.1</v>
      </c>
      <c r="K521" s="238">
        <f>S521*9</f>
        <v>394.86348883324985</v>
      </c>
      <c r="L521" s="238">
        <f>S521*3</f>
        <v>131.6211629444166</v>
      </c>
      <c r="M521" s="199" t="s">
        <v>42</v>
      </c>
      <c r="N521" s="241" t="s">
        <v>1177</v>
      </c>
      <c r="O521" s="267"/>
      <c r="P521" s="241" t="s">
        <v>840</v>
      </c>
      <c r="Q521" s="236" t="s">
        <v>1264</v>
      </c>
      <c r="R521" s="174"/>
      <c r="S521" s="245">
        <f>14.5*J521*1.2*(1+1.2+0.9)*1.2*12/1997*8</f>
        <v>43.873720981472204</v>
      </c>
    </row>
    <row r="522" spans="1:19" s="181" customFormat="1" ht="20.399999999999999" x14ac:dyDescent="0.2">
      <c r="A522" s="237"/>
      <c r="B522" s="257"/>
      <c r="C522" s="257"/>
      <c r="D522" s="257"/>
      <c r="E522" s="257"/>
      <c r="F522" s="257"/>
      <c r="G522" s="257"/>
      <c r="H522" s="257"/>
      <c r="I522" s="257"/>
      <c r="J522" s="257"/>
      <c r="K522" s="239"/>
      <c r="L522" s="239"/>
      <c r="M522" s="199" t="s">
        <v>43</v>
      </c>
      <c r="N522" s="267"/>
      <c r="O522" s="267"/>
      <c r="P522" s="239"/>
      <c r="Q522" s="236"/>
      <c r="R522" s="174"/>
      <c r="S522" s="258"/>
    </row>
    <row r="523" spans="1:19" s="181" customFormat="1" ht="10.199999999999999" x14ac:dyDescent="0.2">
      <c r="A523" s="237"/>
      <c r="B523" s="257"/>
      <c r="C523" s="257"/>
      <c r="D523" s="257"/>
      <c r="E523" s="257"/>
      <c r="F523" s="257"/>
      <c r="G523" s="257"/>
      <c r="H523" s="257"/>
      <c r="I523" s="257"/>
      <c r="J523" s="257"/>
      <c r="K523" s="239"/>
      <c r="L523" s="239"/>
      <c r="M523" s="199" t="s">
        <v>44</v>
      </c>
      <c r="N523" s="267"/>
      <c r="O523" s="267"/>
      <c r="P523" s="239"/>
      <c r="Q523" s="236"/>
      <c r="R523" s="174"/>
      <c r="S523" s="258"/>
    </row>
    <row r="524" spans="1:19" s="181" customFormat="1" ht="10.199999999999999" x14ac:dyDescent="0.2">
      <c r="A524" s="237"/>
      <c r="B524" s="257"/>
      <c r="C524" s="257"/>
      <c r="D524" s="257"/>
      <c r="E524" s="257"/>
      <c r="F524" s="257"/>
      <c r="G524" s="257"/>
      <c r="H524" s="257"/>
      <c r="I524" s="257"/>
      <c r="J524" s="257"/>
      <c r="K524" s="239"/>
      <c r="L524" s="239"/>
      <c r="M524" s="199" t="s">
        <v>45</v>
      </c>
      <c r="N524" s="267"/>
      <c r="O524" s="267"/>
      <c r="P524" s="239"/>
      <c r="Q524" s="236"/>
      <c r="R524" s="174"/>
      <c r="S524" s="258"/>
    </row>
    <row r="525" spans="1:19" s="181" customFormat="1" ht="10.199999999999999" x14ac:dyDescent="0.2">
      <c r="A525" s="237"/>
      <c r="B525" s="257"/>
      <c r="C525" s="257"/>
      <c r="D525" s="257"/>
      <c r="E525" s="257"/>
      <c r="F525" s="257"/>
      <c r="G525" s="257"/>
      <c r="H525" s="257"/>
      <c r="I525" s="257"/>
      <c r="J525" s="257"/>
      <c r="K525" s="239"/>
      <c r="L525" s="239"/>
      <c r="M525" s="199" t="s">
        <v>46</v>
      </c>
      <c r="N525" s="267"/>
      <c r="O525" s="267"/>
      <c r="P525" s="239"/>
      <c r="Q525" s="236"/>
      <c r="R525" s="174"/>
      <c r="S525" s="258"/>
    </row>
    <row r="526" spans="1:19" s="181" customFormat="1" ht="10.199999999999999" x14ac:dyDescent="0.2">
      <c r="A526" s="237"/>
      <c r="B526" s="257"/>
      <c r="C526" s="257"/>
      <c r="D526" s="257"/>
      <c r="E526" s="257"/>
      <c r="F526" s="257"/>
      <c r="G526" s="257"/>
      <c r="H526" s="257"/>
      <c r="I526" s="257"/>
      <c r="J526" s="257"/>
      <c r="K526" s="239"/>
      <c r="L526" s="239"/>
      <c r="M526" s="211" t="s">
        <v>1245</v>
      </c>
      <c r="N526" s="267"/>
      <c r="O526" s="267"/>
      <c r="P526" s="239"/>
      <c r="Q526" s="236"/>
      <c r="R526" s="174"/>
      <c r="S526" s="258"/>
    </row>
    <row r="527" spans="1:19" s="181" customFormat="1" ht="10.199999999999999" x14ac:dyDescent="0.2">
      <c r="A527" s="237">
        <f>A521+1</f>
        <v>86</v>
      </c>
      <c r="B527" s="259">
        <v>44033</v>
      </c>
      <c r="C527" s="259">
        <v>45062</v>
      </c>
      <c r="D527" s="236" t="s">
        <v>1258</v>
      </c>
      <c r="E527" s="236" t="s">
        <v>1041</v>
      </c>
      <c r="F527" s="236" t="s">
        <v>957</v>
      </c>
      <c r="G527" s="236" t="s">
        <v>845</v>
      </c>
      <c r="H527" s="236" t="s">
        <v>1260</v>
      </c>
      <c r="I527" s="236" t="s">
        <v>848</v>
      </c>
      <c r="J527" s="236">
        <v>16.5</v>
      </c>
      <c r="K527" s="238">
        <f>S527*9</f>
        <v>9612.1079999999965</v>
      </c>
      <c r="L527" s="238">
        <f>S527*3</f>
        <v>3204.0359999999991</v>
      </c>
      <c r="M527" s="199" t="s">
        <v>42</v>
      </c>
      <c r="N527" s="241" t="s">
        <v>1177</v>
      </c>
      <c r="O527" s="251"/>
      <c r="P527" s="241" t="s">
        <v>845</v>
      </c>
      <c r="Q527" s="236"/>
      <c r="R527" s="174"/>
      <c r="S527" s="245">
        <f>14.5*J527*1.2*(1+1.2+0.9)*1.2</f>
        <v>1068.0119999999997</v>
      </c>
    </row>
    <row r="528" spans="1:19" s="181" customFormat="1" ht="20.399999999999999" x14ac:dyDescent="0.2">
      <c r="A528" s="237"/>
      <c r="B528" s="257"/>
      <c r="C528" s="257"/>
      <c r="D528" s="257"/>
      <c r="E528" s="257"/>
      <c r="F528" s="257"/>
      <c r="G528" s="257"/>
      <c r="H528" s="257"/>
      <c r="I528" s="257"/>
      <c r="J528" s="257"/>
      <c r="K528" s="239"/>
      <c r="L528" s="239"/>
      <c r="M528" s="199" t="s">
        <v>43</v>
      </c>
      <c r="N528" s="251"/>
      <c r="O528" s="251"/>
      <c r="P528" s="239"/>
      <c r="Q528" s="236"/>
      <c r="R528" s="174"/>
      <c r="S528" s="258"/>
    </row>
    <row r="529" spans="1:19" s="181" customFormat="1" ht="10.199999999999999" x14ac:dyDescent="0.2">
      <c r="A529" s="237"/>
      <c r="B529" s="257"/>
      <c r="C529" s="257"/>
      <c r="D529" s="257"/>
      <c r="E529" s="257"/>
      <c r="F529" s="257"/>
      <c r="G529" s="257"/>
      <c r="H529" s="257"/>
      <c r="I529" s="257"/>
      <c r="J529" s="257"/>
      <c r="K529" s="239"/>
      <c r="L529" s="239"/>
      <c r="M529" s="199" t="s">
        <v>44</v>
      </c>
      <c r="N529" s="242"/>
      <c r="O529" s="242"/>
      <c r="P529" s="239"/>
      <c r="Q529" s="236"/>
      <c r="R529" s="174"/>
      <c r="S529" s="258"/>
    </row>
    <row r="530" spans="1:19" s="181" customFormat="1" ht="10.199999999999999" x14ac:dyDescent="0.2">
      <c r="A530" s="237"/>
      <c r="B530" s="257"/>
      <c r="C530" s="257"/>
      <c r="D530" s="257"/>
      <c r="E530" s="257"/>
      <c r="F530" s="257"/>
      <c r="G530" s="257"/>
      <c r="H530" s="257"/>
      <c r="I530" s="257"/>
      <c r="J530" s="257"/>
      <c r="K530" s="239"/>
      <c r="L530" s="239"/>
      <c r="M530" s="199" t="s">
        <v>45</v>
      </c>
      <c r="N530" s="241" t="s">
        <v>1142</v>
      </c>
      <c r="O530" s="236"/>
      <c r="P530" s="239"/>
      <c r="Q530" s="236"/>
      <c r="R530" s="174"/>
      <c r="S530" s="258"/>
    </row>
    <row r="531" spans="1:19" s="181" customFormat="1" ht="10.199999999999999" x14ac:dyDescent="0.2">
      <c r="A531" s="237"/>
      <c r="B531" s="257"/>
      <c r="C531" s="257"/>
      <c r="D531" s="257"/>
      <c r="E531" s="257"/>
      <c r="F531" s="257"/>
      <c r="G531" s="257"/>
      <c r="H531" s="257"/>
      <c r="I531" s="257"/>
      <c r="J531" s="257"/>
      <c r="K531" s="239"/>
      <c r="L531" s="239"/>
      <c r="M531" s="199" t="s">
        <v>46</v>
      </c>
      <c r="N531" s="237" t="s">
        <v>1177</v>
      </c>
      <c r="O531" s="284"/>
      <c r="P531" s="239"/>
      <c r="Q531" s="236"/>
      <c r="R531" s="174"/>
      <c r="S531" s="258"/>
    </row>
    <row r="532" spans="1:19" s="181" customFormat="1" ht="10.199999999999999" x14ac:dyDescent="0.2">
      <c r="A532" s="237"/>
      <c r="B532" s="257"/>
      <c r="C532" s="257"/>
      <c r="D532" s="257"/>
      <c r="E532" s="257"/>
      <c r="F532" s="257"/>
      <c r="G532" s="257"/>
      <c r="H532" s="257"/>
      <c r="I532" s="257"/>
      <c r="J532" s="257"/>
      <c r="K532" s="239"/>
      <c r="L532" s="239"/>
      <c r="M532" s="211" t="s">
        <v>1245</v>
      </c>
      <c r="N532" s="284"/>
      <c r="O532" s="284"/>
      <c r="P532" s="239"/>
      <c r="Q532" s="236"/>
      <c r="R532" s="174"/>
      <c r="S532" s="258"/>
    </row>
    <row r="533" spans="1:19" s="181" customFormat="1" ht="10.199999999999999" x14ac:dyDescent="0.2">
      <c r="A533" s="237">
        <f>A527+1</f>
        <v>87</v>
      </c>
      <c r="B533" s="243">
        <v>44448</v>
      </c>
      <c r="C533" s="243">
        <v>45543</v>
      </c>
      <c r="D533" s="247" t="s">
        <v>1263</v>
      </c>
      <c r="E533" s="236" t="s">
        <v>1041</v>
      </c>
      <c r="F533" s="236" t="s">
        <v>957</v>
      </c>
      <c r="G533" s="247" t="s">
        <v>884</v>
      </c>
      <c r="H533" s="247" t="s">
        <v>1043</v>
      </c>
      <c r="I533" s="247" t="s">
        <v>887</v>
      </c>
      <c r="J533" s="248">
        <v>55.3</v>
      </c>
      <c r="K533" s="238">
        <f>S533*6</f>
        <v>1789.7291999999998</v>
      </c>
      <c r="L533" s="238">
        <f>S533*3</f>
        <v>894.86459999999988</v>
      </c>
      <c r="M533" s="199" t="s">
        <v>42</v>
      </c>
      <c r="N533" s="241" t="s">
        <v>1199</v>
      </c>
      <c r="O533" s="284"/>
      <c r="P533" s="284"/>
      <c r="Q533" s="236" t="s">
        <v>1261</v>
      </c>
      <c r="R533" s="174"/>
      <c r="S533" s="245">
        <f>14.5*J533*1.2*(1+1.2+0.9)*0.1</f>
        <v>298.28819999999996</v>
      </c>
    </row>
    <row r="534" spans="1:19" s="181" customFormat="1" ht="20.399999999999999" x14ac:dyDescent="0.2">
      <c r="A534" s="237"/>
      <c r="B534" s="257"/>
      <c r="C534" s="257"/>
      <c r="D534" s="257"/>
      <c r="E534" s="257"/>
      <c r="F534" s="257"/>
      <c r="G534" s="257"/>
      <c r="H534" s="257"/>
      <c r="I534" s="257"/>
      <c r="J534" s="257"/>
      <c r="K534" s="239"/>
      <c r="L534" s="239"/>
      <c r="M534" s="199" t="s">
        <v>43</v>
      </c>
      <c r="N534" s="284"/>
      <c r="O534" s="284"/>
      <c r="P534" s="284"/>
      <c r="Q534" s="236"/>
      <c r="R534" s="174"/>
      <c r="S534" s="258"/>
    </row>
    <row r="535" spans="1:19" s="181" customFormat="1" ht="10.199999999999999" x14ac:dyDescent="0.2">
      <c r="A535" s="237"/>
      <c r="B535" s="257"/>
      <c r="C535" s="257"/>
      <c r="D535" s="257"/>
      <c r="E535" s="257"/>
      <c r="F535" s="257"/>
      <c r="G535" s="257"/>
      <c r="H535" s="257"/>
      <c r="I535" s="257"/>
      <c r="J535" s="257"/>
      <c r="K535" s="239"/>
      <c r="L535" s="239"/>
      <c r="M535" s="199" t="s">
        <v>44</v>
      </c>
      <c r="N535" s="284"/>
      <c r="O535" s="284"/>
      <c r="P535" s="284"/>
      <c r="Q535" s="236"/>
      <c r="R535" s="174"/>
      <c r="S535" s="258"/>
    </row>
    <row r="536" spans="1:19" s="181" customFormat="1" ht="10.199999999999999" x14ac:dyDescent="0.2">
      <c r="A536" s="237"/>
      <c r="B536" s="257"/>
      <c r="C536" s="257"/>
      <c r="D536" s="257"/>
      <c r="E536" s="257"/>
      <c r="F536" s="257"/>
      <c r="G536" s="257"/>
      <c r="H536" s="257"/>
      <c r="I536" s="257"/>
      <c r="J536" s="257"/>
      <c r="K536" s="239"/>
      <c r="L536" s="239"/>
      <c r="M536" s="199" t="s">
        <v>45</v>
      </c>
      <c r="N536" s="284"/>
      <c r="O536" s="284"/>
      <c r="P536" s="284"/>
      <c r="Q536" s="236"/>
      <c r="R536" s="174"/>
      <c r="S536" s="258"/>
    </row>
    <row r="537" spans="1:19" s="181" customFormat="1" ht="10.199999999999999" x14ac:dyDescent="0.2">
      <c r="A537" s="237"/>
      <c r="B537" s="257"/>
      <c r="C537" s="257"/>
      <c r="D537" s="257"/>
      <c r="E537" s="257"/>
      <c r="F537" s="257"/>
      <c r="G537" s="257"/>
      <c r="H537" s="257"/>
      <c r="I537" s="257"/>
      <c r="J537" s="257"/>
      <c r="K537" s="239"/>
      <c r="L537" s="239"/>
      <c r="M537" s="199" t="s">
        <v>46</v>
      </c>
      <c r="N537" s="284"/>
      <c r="O537" s="284"/>
      <c r="P537" s="284"/>
      <c r="Q537" s="236"/>
      <c r="R537" s="174"/>
      <c r="S537" s="258"/>
    </row>
    <row r="538" spans="1:19" s="181" customFormat="1" x14ac:dyDescent="0.2">
      <c r="A538" s="237"/>
      <c r="B538" s="257"/>
      <c r="C538" s="257"/>
      <c r="D538" s="257"/>
      <c r="E538" s="257"/>
      <c r="F538" s="257"/>
      <c r="G538" s="257"/>
      <c r="H538" s="257"/>
      <c r="I538" s="257"/>
      <c r="J538" s="257"/>
      <c r="K538" s="239"/>
      <c r="L538" s="239"/>
      <c r="M538" s="211" t="s">
        <v>1245</v>
      </c>
      <c r="N538" s="237" t="s">
        <v>1177</v>
      </c>
      <c r="O538" s="284"/>
      <c r="P538" s="284"/>
      <c r="Q538" s="236"/>
      <c r="R538" s="174"/>
      <c r="S538" s="258"/>
    </row>
    <row r="539" spans="1:19" s="181" customFormat="1" x14ac:dyDescent="0.2">
      <c r="A539" s="237">
        <f>A533+1</f>
        <v>88</v>
      </c>
      <c r="B539" s="243">
        <v>43101</v>
      </c>
      <c r="C539" s="243">
        <v>46752</v>
      </c>
      <c r="D539" s="236" t="s">
        <v>895</v>
      </c>
      <c r="E539" s="236" t="s">
        <v>1041</v>
      </c>
      <c r="F539" s="236" t="s">
        <v>957</v>
      </c>
      <c r="G539" s="236" t="s">
        <v>112</v>
      </c>
      <c r="H539" s="236" t="s">
        <v>1044</v>
      </c>
      <c r="I539" s="236" t="s">
        <v>530</v>
      </c>
      <c r="J539" s="236">
        <v>22.75</v>
      </c>
      <c r="K539" s="238">
        <f>S539*9</f>
        <v>6626.5289999999995</v>
      </c>
      <c r="L539" s="238">
        <f>S539*3</f>
        <v>2208.8429999999998</v>
      </c>
      <c r="M539" s="199" t="s">
        <v>42</v>
      </c>
      <c r="N539" s="241" t="s">
        <v>1142</v>
      </c>
      <c r="O539" s="251"/>
      <c r="P539" s="241" t="s">
        <v>112</v>
      </c>
      <c r="Q539" s="237"/>
      <c r="R539" s="174"/>
      <c r="S539" s="245">
        <f>14.5*J539*1.2*(1+1.2+0.9)*0.6</f>
        <v>736.28099999999995</v>
      </c>
    </row>
    <row r="540" spans="1:19" s="181" customFormat="1" ht="20.399999999999999" x14ac:dyDescent="0.2">
      <c r="A540" s="237"/>
      <c r="B540" s="257"/>
      <c r="C540" s="257"/>
      <c r="D540" s="257"/>
      <c r="E540" s="257"/>
      <c r="F540" s="257"/>
      <c r="G540" s="257"/>
      <c r="H540" s="257"/>
      <c r="I540" s="257"/>
      <c r="J540" s="257"/>
      <c r="K540" s="239"/>
      <c r="L540" s="239"/>
      <c r="M540" s="199" t="s">
        <v>43</v>
      </c>
      <c r="N540" s="241" t="s">
        <v>1182</v>
      </c>
      <c r="O540" s="242"/>
      <c r="P540" s="239"/>
      <c r="Q540" s="237"/>
      <c r="R540" s="174"/>
      <c r="S540" s="258"/>
    </row>
    <row r="541" spans="1:19" s="181" customFormat="1" ht="10.199999999999999" x14ac:dyDescent="0.2">
      <c r="A541" s="237"/>
      <c r="B541" s="257"/>
      <c r="C541" s="257"/>
      <c r="D541" s="257"/>
      <c r="E541" s="257"/>
      <c r="F541" s="257"/>
      <c r="G541" s="257"/>
      <c r="H541" s="257"/>
      <c r="I541" s="257"/>
      <c r="J541" s="257"/>
      <c r="K541" s="239"/>
      <c r="L541" s="239"/>
      <c r="M541" s="199" t="s">
        <v>44</v>
      </c>
      <c r="N541" s="242"/>
      <c r="O541" s="242"/>
      <c r="P541" s="239"/>
      <c r="Q541" s="237"/>
      <c r="R541" s="174"/>
      <c r="S541" s="258"/>
    </row>
    <row r="542" spans="1:19" s="181" customFormat="1" ht="10.199999999999999" x14ac:dyDescent="0.2">
      <c r="A542" s="237"/>
      <c r="B542" s="257"/>
      <c r="C542" s="257"/>
      <c r="D542" s="257"/>
      <c r="E542" s="257"/>
      <c r="F542" s="257"/>
      <c r="G542" s="257"/>
      <c r="H542" s="257"/>
      <c r="I542" s="257"/>
      <c r="J542" s="257"/>
      <c r="K542" s="239"/>
      <c r="L542" s="239"/>
      <c r="M542" s="199" t="s">
        <v>45</v>
      </c>
      <c r="N542" s="242"/>
      <c r="O542" s="242"/>
      <c r="P542" s="239"/>
      <c r="Q542" s="237"/>
      <c r="R542" s="174"/>
      <c r="S542" s="258"/>
    </row>
    <row r="543" spans="1:19" s="181" customFormat="1" ht="10.199999999999999" x14ac:dyDescent="0.2">
      <c r="A543" s="237"/>
      <c r="B543" s="257"/>
      <c r="C543" s="257"/>
      <c r="D543" s="257"/>
      <c r="E543" s="257"/>
      <c r="F543" s="257"/>
      <c r="G543" s="257"/>
      <c r="H543" s="257"/>
      <c r="I543" s="257"/>
      <c r="J543" s="257"/>
      <c r="K543" s="239"/>
      <c r="L543" s="239"/>
      <c r="M543" s="199" t="s">
        <v>46</v>
      </c>
      <c r="N543" s="242"/>
      <c r="O543" s="242"/>
      <c r="P543" s="239"/>
      <c r="Q543" s="237"/>
      <c r="R543" s="174"/>
      <c r="S543" s="258"/>
    </row>
    <row r="544" spans="1:19" s="181" customFormat="1" x14ac:dyDescent="0.2">
      <c r="A544" s="237"/>
      <c r="B544" s="257"/>
      <c r="C544" s="257"/>
      <c r="D544" s="257"/>
      <c r="E544" s="257"/>
      <c r="F544" s="257"/>
      <c r="G544" s="257"/>
      <c r="H544" s="257"/>
      <c r="I544" s="257"/>
      <c r="J544" s="257"/>
      <c r="K544" s="239"/>
      <c r="L544" s="239"/>
      <c r="M544" s="211" t="s">
        <v>1245</v>
      </c>
      <c r="N544" s="237" t="s">
        <v>1177</v>
      </c>
      <c r="O544" s="284"/>
      <c r="P544" s="239"/>
      <c r="Q544" s="237"/>
      <c r="R544" s="174"/>
      <c r="S544" s="258"/>
    </row>
    <row r="545" spans="1:19" s="181" customFormat="1" x14ac:dyDescent="0.2">
      <c r="A545" s="237">
        <f>A539+1</f>
        <v>89</v>
      </c>
      <c r="B545" s="270">
        <v>43444</v>
      </c>
      <c r="C545" s="270">
        <v>47096</v>
      </c>
      <c r="D545" s="236" t="s">
        <v>906</v>
      </c>
      <c r="E545" s="236" t="s">
        <v>1041</v>
      </c>
      <c r="F545" s="236" t="s">
        <v>957</v>
      </c>
      <c r="G545" s="236" t="s">
        <v>907</v>
      </c>
      <c r="H545" s="236" t="s">
        <v>1045</v>
      </c>
      <c r="I545" s="236" t="s">
        <v>910</v>
      </c>
      <c r="J545" s="241">
        <f>485.1+81.1+246.7+238.6+291.4+61.3+139.7</f>
        <v>1543.9</v>
      </c>
      <c r="K545" s="238">
        <f>S545*9</f>
        <v>525860.05950000009</v>
      </c>
      <c r="L545" s="238">
        <f>S545*3</f>
        <v>175286.68650000004</v>
      </c>
      <c r="M545" s="199" t="s">
        <v>42</v>
      </c>
      <c r="N545" s="241" t="s">
        <v>1190</v>
      </c>
      <c r="O545" s="251"/>
      <c r="P545" s="241" t="s">
        <v>907</v>
      </c>
      <c r="Q545" s="237"/>
      <c r="R545" s="174"/>
      <c r="S545" s="245">
        <f>14.5*J545*1*(1+1.2+0.7)*0.9</f>
        <v>58428.895500000013</v>
      </c>
    </row>
    <row r="546" spans="1:19" s="181" customFormat="1" ht="20.399999999999999" x14ac:dyDescent="0.2">
      <c r="A546" s="237"/>
      <c r="B546" s="257"/>
      <c r="C546" s="257"/>
      <c r="D546" s="257"/>
      <c r="E546" s="257"/>
      <c r="F546" s="257"/>
      <c r="G546" s="257"/>
      <c r="H546" s="257"/>
      <c r="I546" s="257"/>
      <c r="J546" s="257"/>
      <c r="K546" s="239"/>
      <c r="L546" s="239"/>
      <c r="M546" s="199" t="s">
        <v>43</v>
      </c>
      <c r="N546" s="241" t="s">
        <v>1142</v>
      </c>
      <c r="O546" s="251"/>
      <c r="P546" s="239"/>
      <c r="Q546" s="237"/>
      <c r="R546" s="174"/>
      <c r="S546" s="258"/>
    </row>
    <row r="547" spans="1:19" s="181" customFormat="1" ht="10.199999999999999" x14ac:dyDescent="0.2">
      <c r="A547" s="237"/>
      <c r="B547" s="257"/>
      <c r="C547" s="257"/>
      <c r="D547" s="257"/>
      <c r="E547" s="257"/>
      <c r="F547" s="257"/>
      <c r="G547" s="257"/>
      <c r="H547" s="257"/>
      <c r="I547" s="257"/>
      <c r="J547" s="257"/>
      <c r="K547" s="239"/>
      <c r="L547" s="239"/>
      <c r="M547" s="199" t="s">
        <v>44</v>
      </c>
      <c r="N547" s="241" t="s">
        <v>1177</v>
      </c>
      <c r="O547" s="242"/>
      <c r="P547" s="239"/>
      <c r="Q547" s="237"/>
      <c r="R547" s="174"/>
      <c r="S547" s="258"/>
    </row>
    <row r="548" spans="1:19" s="181" customFormat="1" ht="10.199999999999999" x14ac:dyDescent="0.2">
      <c r="A548" s="237"/>
      <c r="B548" s="257"/>
      <c r="C548" s="257"/>
      <c r="D548" s="257"/>
      <c r="E548" s="257"/>
      <c r="F548" s="257"/>
      <c r="G548" s="257"/>
      <c r="H548" s="257"/>
      <c r="I548" s="257"/>
      <c r="J548" s="257"/>
      <c r="K548" s="239"/>
      <c r="L548" s="239"/>
      <c r="M548" s="199" t="s">
        <v>45</v>
      </c>
      <c r="N548" s="242"/>
      <c r="O548" s="242"/>
      <c r="P548" s="239"/>
      <c r="Q548" s="237"/>
      <c r="R548" s="174"/>
      <c r="S548" s="258"/>
    </row>
    <row r="549" spans="1:19" s="181" customFormat="1" ht="10.199999999999999" x14ac:dyDescent="0.2">
      <c r="A549" s="237"/>
      <c r="B549" s="257"/>
      <c r="C549" s="257"/>
      <c r="D549" s="257"/>
      <c r="E549" s="257"/>
      <c r="F549" s="257"/>
      <c r="G549" s="257"/>
      <c r="H549" s="257"/>
      <c r="I549" s="257"/>
      <c r="J549" s="257"/>
      <c r="K549" s="239"/>
      <c r="L549" s="239"/>
      <c r="M549" s="199" t="s">
        <v>46</v>
      </c>
      <c r="N549" s="242"/>
      <c r="O549" s="242"/>
      <c r="P549" s="239"/>
      <c r="Q549" s="237"/>
      <c r="R549" s="174"/>
      <c r="S549" s="258"/>
    </row>
    <row r="550" spans="1:19" s="181" customFormat="1" ht="10.199999999999999" x14ac:dyDescent="0.2">
      <c r="A550" s="237"/>
      <c r="B550" s="257"/>
      <c r="C550" s="257"/>
      <c r="D550" s="257"/>
      <c r="E550" s="257"/>
      <c r="F550" s="257"/>
      <c r="G550" s="257"/>
      <c r="H550" s="257"/>
      <c r="I550" s="257"/>
      <c r="J550" s="257"/>
      <c r="K550" s="239"/>
      <c r="L550" s="239"/>
      <c r="M550" s="211" t="s">
        <v>1245</v>
      </c>
      <c r="N550" s="242"/>
      <c r="O550" s="242"/>
      <c r="P550" s="239"/>
      <c r="Q550" s="237"/>
      <c r="R550" s="174"/>
      <c r="S550" s="258"/>
    </row>
    <row r="551" spans="1:19" s="181" customFormat="1" ht="10.199999999999999" x14ac:dyDescent="0.2">
      <c r="A551" s="237">
        <f>A545+1</f>
        <v>90</v>
      </c>
      <c r="B551" s="270">
        <v>43515</v>
      </c>
      <c r="C551" s="270">
        <v>47167</v>
      </c>
      <c r="D551" s="236" t="s">
        <v>911</v>
      </c>
      <c r="E551" s="236" t="s">
        <v>1041</v>
      </c>
      <c r="F551" s="236" t="s">
        <v>957</v>
      </c>
      <c r="G551" s="236" t="s">
        <v>912</v>
      </c>
      <c r="H551" s="236" t="s">
        <v>1046</v>
      </c>
      <c r="I551" s="236" t="s">
        <v>915</v>
      </c>
      <c r="J551" s="236">
        <v>432.3</v>
      </c>
      <c r="K551" s="238">
        <f>S551*9</f>
        <v>92462.120999999999</v>
      </c>
      <c r="L551" s="238">
        <f>S551*3</f>
        <v>30820.706999999999</v>
      </c>
      <c r="M551" s="199" t="s">
        <v>42</v>
      </c>
      <c r="N551" s="241" t="s">
        <v>1177</v>
      </c>
      <c r="O551" s="267"/>
      <c r="P551" s="241" t="s">
        <v>912</v>
      </c>
      <c r="Q551" s="237"/>
      <c r="R551" s="174"/>
      <c r="S551" s="245">
        <f>(14.5*93.8*1*(1+1.2+0.9)*0.9)+(14.5*338.5*1*(1+1.2)*0.6)</f>
        <v>10273.569</v>
      </c>
    </row>
    <row r="552" spans="1:19" s="181" customFormat="1" ht="20.399999999999999" x14ac:dyDescent="0.2">
      <c r="A552" s="237"/>
      <c r="B552" s="257"/>
      <c r="C552" s="257"/>
      <c r="D552" s="257"/>
      <c r="E552" s="257"/>
      <c r="F552" s="257"/>
      <c r="G552" s="257"/>
      <c r="H552" s="257"/>
      <c r="I552" s="257"/>
      <c r="J552" s="257"/>
      <c r="K552" s="239"/>
      <c r="L552" s="239"/>
      <c r="M552" s="199" t="s">
        <v>43</v>
      </c>
      <c r="N552" s="267"/>
      <c r="O552" s="267"/>
      <c r="P552" s="239"/>
      <c r="Q552" s="237"/>
      <c r="R552" s="174"/>
      <c r="S552" s="258"/>
    </row>
    <row r="553" spans="1:19" s="181" customFormat="1" ht="10.199999999999999" x14ac:dyDescent="0.2">
      <c r="A553" s="237"/>
      <c r="B553" s="257"/>
      <c r="C553" s="257"/>
      <c r="D553" s="257"/>
      <c r="E553" s="257"/>
      <c r="F553" s="257"/>
      <c r="G553" s="257"/>
      <c r="H553" s="257"/>
      <c r="I553" s="257"/>
      <c r="J553" s="257"/>
      <c r="K553" s="239"/>
      <c r="L553" s="239"/>
      <c r="M553" s="199" t="s">
        <v>44</v>
      </c>
      <c r="N553" s="267"/>
      <c r="O553" s="267"/>
      <c r="P553" s="239"/>
      <c r="Q553" s="237"/>
      <c r="R553" s="174"/>
      <c r="S553" s="258"/>
    </row>
    <row r="554" spans="1:19" s="181" customFormat="1" ht="10.199999999999999" x14ac:dyDescent="0.2">
      <c r="A554" s="237"/>
      <c r="B554" s="257"/>
      <c r="C554" s="257"/>
      <c r="D554" s="257"/>
      <c r="E554" s="257"/>
      <c r="F554" s="257"/>
      <c r="G554" s="257"/>
      <c r="H554" s="257"/>
      <c r="I554" s="257"/>
      <c r="J554" s="257"/>
      <c r="K554" s="239"/>
      <c r="L554" s="239"/>
      <c r="M554" s="199" t="s">
        <v>45</v>
      </c>
      <c r="N554" s="267"/>
      <c r="O554" s="267"/>
      <c r="P554" s="239"/>
      <c r="Q554" s="237"/>
      <c r="R554" s="174"/>
      <c r="S554" s="258"/>
    </row>
    <row r="555" spans="1:19" s="181" customFormat="1" ht="10.199999999999999" x14ac:dyDescent="0.2">
      <c r="A555" s="237"/>
      <c r="B555" s="257"/>
      <c r="C555" s="257"/>
      <c r="D555" s="257"/>
      <c r="E555" s="257"/>
      <c r="F555" s="257"/>
      <c r="G555" s="257"/>
      <c r="H555" s="257"/>
      <c r="I555" s="257"/>
      <c r="J555" s="257"/>
      <c r="K555" s="239"/>
      <c r="L555" s="239"/>
      <c r="M555" s="199" t="s">
        <v>46</v>
      </c>
      <c r="N555" s="267"/>
      <c r="O555" s="267"/>
      <c r="P555" s="239"/>
      <c r="Q555" s="237"/>
      <c r="R555" s="174"/>
      <c r="S555" s="258"/>
    </row>
    <row r="556" spans="1:19" s="181" customFormat="1" ht="10.199999999999999" x14ac:dyDescent="0.2">
      <c r="A556" s="237"/>
      <c r="B556" s="257"/>
      <c r="C556" s="257"/>
      <c r="D556" s="257"/>
      <c r="E556" s="257"/>
      <c r="F556" s="257"/>
      <c r="G556" s="257"/>
      <c r="H556" s="257"/>
      <c r="I556" s="257"/>
      <c r="J556" s="257"/>
      <c r="K556" s="239"/>
      <c r="L556" s="239"/>
      <c r="M556" s="211" t="s">
        <v>1245</v>
      </c>
      <c r="N556" s="267"/>
      <c r="O556" s="267"/>
      <c r="P556" s="239"/>
      <c r="Q556" s="237"/>
      <c r="R556" s="174"/>
      <c r="S556" s="258"/>
    </row>
    <row r="557" spans="1:19" s="181" customFormat="1" ht="10.199999999999999" x14ac:dyDescent="0.2">
      <c r="A557" s="237">
        <f>A551+1</f>
        <v>91</v>
      </c>
      <c r="B557" s="243">
        <v>43901</v>
      </c>
      <c r="C557" s="243">
        <v>44926</v>
      </c>
      <c r="D557" s="247" t="s">
        <v>1266</v>
      </c>
      <c r="E557" s="236" t="s">
        <v>1041</v>
      </c>
      <c r="F557" s="236" t="s">
        <v>957</v>
      </c>
      <c r="G557" s="247" t="s">
        <v>928</v>
      </c>
      <c r="H557" s="247" t="s">
        <v>1047</v>
      </c>
      <c r="I557" s="247" t="s">
        <v>931</v>
      </c>
      <c r="J557" s="248">
        <v>29.9</v>
      </c>
      <c r="K557" s="238">
        <f>S557*9</f>
        <v>1451.5253999999998</v>
      </c>
      <c r="L557" s="238">
        <f>S557*3</f>
        <v>483.84179999999992</v>
      </c>
      <c r="M557" s="199" t="s">
        <v>42</v>
      </c>
      <c r="N557" s="241" t="s">
        <v>1200</v>
      </c>
      <c r="O557" s="284"/>
      <c r="P557" s="284"/>
      <c r="Q557" s="236" t="s">
        <v>1261</v>
      </c>
      <c r="R557" s="174"/>
      <c r="S557" s="245">
        <f>14.5*J557*1.2*(1+1.2+0.9)*0.1</f>
        <v>161.28059999999996</v>
      </c>
    </row>
    <row r="558" spans="1:19" s="181" customFormat="1" ht="20.399999999999999" x14ac:dyDescent="0.2">
      <c r="A558" s="237"/>
      <c r="B558" s="257"/>
      <c r="C558" s="257"/>
      <c r="D558" s="251"/>
      <c r="E558" s="257"/>
      <c r="F558" s="257"/>
      <c r="G558" s="257"/>
      <c r="H558" s="257"/>
      <c r="I558" s="257"/>
      <c r="J558" s="257"/>
      <c r="K558" s="239"/>
      <c r="L558" s="239"/>
      <c r="M558" s="199" t="s">
        <v>43</v>
      </c>
      <c r="N558" s="284"/>
      <c r="O558" s="284"/>
      <c r="P558" s="284"/>
      <c r="Q558" s="236"/>
      <c r="R558" s="174"/>
      <c r="S558" s="258"/>
    </row>
    <row r="559" spans="1:19" s="181" customFormat="1" ht="10.199999999999999" x14ac:dyDescent="0.2">
      <c r="A559" s="237"/>
      <c r="B559" s="257"/>
      <c r="C559" s="257"/>
      <c r="D559" s="251"/>
      <c r="E559" s="257"/>
      <c r="F559" s="257"/>
      <c r="G559" s="257"/>
      <c r="H559" s="257"/>
      <c r="I559" s="257"/>
      <c r="J559" s="257"/>
      <c r="K559" s="239"/>
      <c r="L559" s="239"/>
      <c r="M559" s="199" t="s">
        <v>44</v>
      </c>
      <c r="N559" s="284"/>
      <c r="O559" s="284"/>
      <c r="P559" s="284"/>
      <c r="Q559" s="236"/>
      <c r="R559" s="174"/>
      <c r="S559" s="258"/>
    </row>
    <row r="560" spans="1:19" s="181" customFormat="1" ht="10.199999999999999" x14ac:dyDescent="0.2">
      <c r="A560" s="237"/>
      <c r="B560" s="257"/>
      <c r="C560" s="257"/>
      <c r="D560" s="251"/>
      <c r="E560" s="257"/>
      <c r="F560" s="257"/>
      <c r="G560" s="257"/>
      <c r="H560" s="257"/>
      <c r="I560" s="257"/>
      <c r="J560" s="257"/>
      <c r="K560" s="239"/>
      <c r="L560" s="239"/>
      <c r="M560" s="199" t="s">
        <v>45</v>
      </c>
      <c r="N560" s="284"/>
      <c r="O560" s="284"/>
      <c r="P560" s="284"/>
      <c r="Q560" s="236"/>
      <c r="R560" s="174"/>
      <c r="S560" s="258"/>
    </row>
    <row r="561" spans="1:19" s="181" customFormat="1" ht="10.199999999999999" x14ac:dyDescent="0.2">
      <c r="A561" s="237"/>
      <c r="B561" s="257"/>
      <c r="C561" s="257"/>
      <c r="D561" s="251"/>
      <c r="E561" s="257"/>
      <c r="F561" s="257"/>
      <c r="G561" s="257"/>
      <c r="H561" s="257"/>
      <c r="I561" s="257"/>
      <c r="J561" s="257"/>
      <c r="K561" s="239"/>
      <c r="L561" s="239"/>
      <c r="M561" s="199" t="s">
        <v>46</v>
      </c>
      <c r="N561" s="284"/>
      <c r="O561" s="284"/>
      <c r="P561" s="284"/>
      <c r="Q561" s="236"/>
      <c r="R561" s="174"/>
      <c r="S561" s="258"/>
    </row>
    <row r="562" spans="1:19" s="181" customFormat="1" x14ac:dyDescent="0.2">
      <c r="A562" s="237"/>
      <c r="B562" s="257"/>
      <c r="C562" s="257"/>
      <c r="D562" s="251"/>
      <c r="E562" s="257"/>
      <c r="F562" s="257"/>
      <c r="G562" s="257"/>
      <c r="H562" s="257"/>
      <c r="I562" s="257"/>
      <c r="J562" s="257"/>
      <c r="K562" s="239"/>
      <c r="L562" s="239"/>
      <c r="M562" s="211" t="s">
        <v>1245</v>
      </c>
      <c r="N562" s="236" t="s">
        <v>1177</v>
      </c>
      <c r="O562" s="242"/>
      <c r="P562" s="242"/>
      <c r="Q562" s="236"/>
      <c r="R562" s="174"/>
      <c r="S562" s="258"/>
    </row>
    <row r="563" spans="1:19" s="181" customFormat="1" ht="30.6" x14ac:dyDescent="0.2">
      <c r="A563" s="237">
        <f>A557+1</f>
        <v>92</v>
      </c>
      <c r="B563" s="243">
        <v>43901</v>
      </c>
      <c r="C563" s="243">
        <v>44927</v>
      </c>
      <c r="D563" s="247" t="s">
        <v>1265</v>
      </c>
      <c r="E563" s="236" t="s">
        <v>1041</v>
      </c>
      <c r="F563" s="236" t="s">
        <v>957</v>
      </c>
      <c r="G563" s="247" t="s">
        <v>935</v>
      </c>
      <c r="H563" s="247" t="s">
        <v>1048</v>
      </c>
      <c r="I563" s="247" t="s">
        <v>937</v>
      </c>
      <c r="J563" s="248">
        <v>28.7</v>
      </c>
      <c r="K563" s="238">
        <f>S563*9</f>
        <v>1393.2701999999999</v>
      </c>
      <c r="L563" s="238">
        <f>S563*3</f>
        <v>464.42339999999996</v>
      </c>
      <c r="M563" s="199" t="s">
        <v>42</v>
      </c>
      <c r="N563" s="241" t="s">
        <v>1142</v>
      </c>
      <c r="O563" s="251"/>
      <c r="P563" s="195" t="s">
        <v>935</v>
      </c>
      <c r="Q563" s="236" t="s">
        <v>1261</v>
      </c>
      <c r="R563" s="174"/>
      <c r="S563" s="245">
        <f>14.5*J563*1.2*(1+1.2+0.9)*0.1</f>
        <v>154.80779999999999</v>
      </c>
    </row>
    <row r="564" spans="1:19" s="181" customFormat="1" ht="20.399999999999999" x14ac:dyDescent="0.2">
      <c r="A564" s="237"/>
      <c r="B564" s="257"/>
      <c r="C564" s="251"/>
      <c r="D564" s="240"/>
      <c r="E564" s="257"/>
      <c r="F564" s="257"/>
      <c r="G564" s="240"/>
      <c r="H564" s="240"/>
      <c r="I564" s="240"/>
      <c r="J564" s="240"/>
      <c r="K564" s="239"/>
      <c r="L564" s="239"/>
      <c r="M564" s="199" t="s">
        <v>43</v>
      </c>
      <c r="N564" s="241" t="s">
        <v>1191</v>
      </c>
      <c r="O564" s="236"/>
      <c r="P564" s="251"/>
      <c r="Q564" s="236"/>
      <c r="R564" s="174"/>
      <c r="S564" s="399"/>
    </row>
    <row r="565" spans="1:19" s="181" customFormat="1" ht="10.199999999999999" x14ac:dyDescent="0.2">
      <c r="A565" s="237"/>
      <c r="B565" s="257"/>
      <c r="C565" s="251"/>
      <c r="D565" s="240"/>
      <c r="E565" s="257"/>
      <c r="F565" s="257"/>
      <c r="G565" s="240"/>
      <c r="H565" s="240"/>
      <c r="I565" s="240"/>
      <c r="J565" s="240"/>
      <c r="K565" s="239"/>
      <c r="L565" s="239"/>
      <c r="M565" s="199" t="s">
        <v>44</v>
      </c>
      <c r="N565" s="242"/>
      <c r="O565" s="242"/>
      <c r="P565" s="242"/>
      <c r="Q565" s="236"/>
      <c r="R565" s="174"/>
      <c r="S565" s="399"/>
    </row>
    <row r="566" spans="1:19" s="181" customFormat="1" x14ac:dyDescent="0.2">
      <c r="A566" s="237"/>
      <c r="B566" s="257"/>
      <c r="C566" s="251"/>
      <c r="D566" s="240"/>
      <c r="E566" s="257"/>
      <c r="F566" s="257"/>
      <c r="G566" s="240"/>
      <c r="H566" s="240"/>
      <c r="I566" s="240"/>
      <c r="J566" s="240"/>
      <c r="K566" s="239"/>
      <c r="L566" s="239"/>
      <c r="M566" s="199" t="s">
        <v>45</v>
      </c>
      <c r="N566" s="241" t="s">
        <v>1201</v>
      </c>
      <c r="O566" s="239"/>
      <c r="P566" s="239"/>
      <c r="Q566" s="236"/>
      <c r="R566" s="174"/>
      <c r="S566" s="399"/>
    </row>
    <row r="567" spans="1:19" s="181" customFormat="1" ht="10.199999999999999" x14ac:dyDescent="0.2">
      <c r="A567" s="237"/>
      <c r="B567" s="257"/>
      <c r="C567" s="251"/>
      <c r="D567" s="240"/>
      <c r="E567" s="257"/>
      <c r="F567" s="257"/>
      <c r="G567" s="240"/>
      <c r="H567" s="240"/>
      <c r="I567" s="240"/>
      <c r="J567" s="240"/>
      <c r="K567" s="239"/>
      <c r="L567" s="239"/>
      <c r="M567" s="199" t="s">
        <v>46</v>
      </c>
      <c r="N567" s="241" t="s">
        <v>1191</v>
      </c>
      <c r="O567" s="284"/>
      <c r="P567" s="284"/>
      <c r="Q567" s="236"/>
      <c r="R567" s="174"/>
      <c r="S567" s="399"/>
    </row>
    <row r="568" spans="1:19" s="181" customFormat="1" ht="10.199999999999999" x14ac:dyDescent="0.2">
      <c r="A568" s="237"/>
      <c r="B568" s="257"/>
      <c r="C568" s="251"/>
      <c r="D568" s="240"/>
      <c r="E568" s="257"/>
      <c r="F568" s="257"/>
      <c r="G568" s="240"/>
      <c r="H568" s="240"/>
      <c r="I568" s="240"/>
      <c r="J568" s="240"/>
      <c r="K568" s="239"/>
      <c r="L568" s="239"/>
      <c r="M568" s="211" t="s">
        <v>1245</v>
      </c>
      <c r="N568" s="284"/>
      <c r="O568" s="284"/>
      <c r="P568" s="284"/>
      <c r="Q568" s="236"/>
      <c r="R568" s="174"/>
      <c r="S568" s="399"/>
    </row>
    <row r="569" spans="1:19" s="181" customFormat="1" ht="10.199999999999999" x14ac:dyDescent="0.2">
      <c r="A569" s="237">
        <f>A563+1</f>
        <v>93</v>
      </c>
      <c r="B569" s="243">
        <v>44704</v>
      </c>
      <c r="C569" s="243">
        <v>45046</v>
      </c>
      <c r="D569" s="247" t="s">
        <v>1172</v>
      </c>
      <c r="E569" s="236" t="s">
        <v>958</v>
      </c>
      <c r="F569" s="236" t="s">
        <v>957</v>
      </c>
      <c r="G569" s="247" t="s">
        <v>1173</v>
      </c>
      <c r="H569" s="247" t="s">
        <v>1174</v>
      </c>
      <c r="I569" s="247" t="s">
        <v>1175</v>
      </c>
      <c r="J569" s="248">
        <v>56.4</v>
      </c>
      <c r="K569" s="238">
        <f>S569*4</f>
        <v>7850.8799999999992</v>
      </c>
      <c r="L569" s="238">
        <f>S569*3</f>
        <v>5888.16</v>
      </c>
      <c r="M569" s="199" t="s">
        <v>42</v>
      </c>
      <c r="N569" s="195">
        <v>0</v>
      </c>
      <c r="O569" s="195">
        <v>0</v>
      </c>
      <c r="P569" s="241" t="s">
        <v>1173</v>
      </c>
      <c r="Q569" s="237"/>
      <c r="R569" s="174"/>
      <c r="S569" s="245">
        <f>14.5*J569*1*(1+0.1+0.9)*1.2</f>
        <v>1962.7199999999998</v>
      </c>
    </row>
    <row r="570" spans="1:19" s="181" customFormat="1" ht="20.399999999999999" x14ac:dyDescent="0.2">
      <c r="A570" s="237"/>
      <c r="B570" s="257"/>
      <c r="C570" s="251"/>
      <c r="D570" s="240"/>
      <c r="E570" s="257"/>
      <c r="F570" s="257"/>
      <c r="G570" s="240"/>
      <c r="H570" s="240"/>
      <c r="I570" s="240"/>
      <c r="J570" s="240"/>
      <c r="K570" s="239"/>
      <c r="L570" s="239"/>
      <c r="M570" s="199" t="s">
        <v>43</v>
      </c>
      <c r="N570" s="195">
        <v>0</v>
      </c>
      <c r="O570" s="195">
        <v>0</v>
      </c>
      <c r="P570" s="267"/>
      <c r="Q570" s="240"/>
      <c r="R570" s="174"/>
      <c r="S570" s="399"/>
    </row>
    <row r="571" spans="1:19" s="181" customFormat="1" ht="10.199999999999999" x14ac:dyDescent="0.2">
      <c r="A571" s="237"/>
      <c r="B571" s="257"/>
      <c r="C571" s="251"/>
      <c r="D571" s="240"/>
      <c r="E571" s="257"/>
      <c r="F571" s="257"/>
      <c r="G571" s="240"/>
      <c r="H571" s="240"/>
      <c r="I571" s="240"/>
      <c r="J571" s="240"/>
      <c r="K571" s="239"/>
      <c r="L571" s="239"/>
      <c r="M571" s="199" t="s">
        <v>44</v>
      </c>
      <c r="N571" s="195">
        <v>0</v>
      </c>
      <c r="O571" s="195">
        <v>0</v>
      </c>
      <c r="P571" s="267"/>
      <c r="Q571" s="240"/>
      <c r="R571" s="174"/>
      <c r="S571" s="399"/>
    </row>
    <row r="572" spans="1:19" s="181" customFormat="1" ht="10.199999999999999" x14ac:dyDescent="0.2">
      <c r="A572" s="237"/>
      <c r="B572" s="257"/>
      <c r="C572" s="251"/>
      <c r="D572" s="240"/>
      <c r="E572" s="257"/>
      <c r="F572" s="257"/>
      <c r="G572" s="240"/>
      <c r="H572" s="240"/>
      <c r="I572" s="240"/>
      <c r="J572" s="240"/>
      <c r="K572" s="239"/>
      <c r="L572" s="239"/>
      <c r="M572" s="199" t="s">
        <v>45</v>
      </c>
      <c r="N572" s="195">
        <v>0</v>
      </c>
      <c r="O572" s="197">
        <v>0</v>
      </c>
      <c r="P572" s="240"/>
      <c r="Q572" s="240"/>
      <c r="R572" s="174"/>
      <c r="S572" s="399"/>
    </row>
    <row r="573" spans="1:19" s="181" customFormat="1" ht="10.199999999999999" x14ac:dyDescent="0.2">
      <c r="A573" s="237"/>
      <c r="B573" s="257"/>
      <c r="C573" s="251"/>
      <c r="D573" s="240"/>
      <c r="E573" s="257"/>
      <c r="F573" s="257"/>
      <c r="G573" s="240"/>
      <c r="H573" s="240"/>
      <c r="I573" s="240"/>
      <c r="J573" s="240"/>
      <c r="K573" s="239"/>
      <c r="L573" s="239"/>
      <c r="M573" s="199" t="s">
        <v>46</v>
      </c>
      <c r="N573" s="195">
        <v>0</v>
      </c>
      <c r="O573" s="197">
        <v>0</v>
      </c>
      <c r="P573" s="240"/>
      <c r="Q573" s="240"/>
      <c r="R573" s="174"/>
      <c r="S573" s="399"/>
    </row>
    <row r="574" spans="1:19" s="181" customFormat="1" ht="10.199999999999999" x14ac:dyDescent="0.2">
      <c r="A574" s="237"/>
      <c r="B574" s="257"/>
      <c r="C574" s="251"/>
      <c r="D574" s="240"/>
      <c r="E574" s="257"/>
      <c r="F574" s="257"/>
      <c r="G574" s="240"/>
      <c r="H574" s="240"/>
      <c r="I574" s="240"/>
      <c r="J574" s="240"/>
      <c r="K574" s="239"/>
      <c r="L574" s="239"/>
      <c r="M574" s="211" t="s">
        <v>1245</v>
      </c>
      <c r="N574" s="195">
        <v>96.45</v>
      </c>
      <c r="O574" s="195">
        <v>96.45</v>
      </c>
      <c r="P574" s="240"/>
      <c r="Q574" s="240"/>
      <c r="R574" s="174"/>
      <c r="S574" s="399"/>
    </row>
    <row r="575" spans="1:19" s="181" customFormat="1" ht="10.199999999999999" x14ac:dyDescent="0.2">
      <c r="A575" s="237">
        <f>A569+1</f>
        <v>94</v>
      </c>
      <c r="B575" s="243">
        <v>44760</v>
      </c>
      <c r="C575" s="243">
        <v>45094</v>
      </c>
      <c r="D575" s="247" t="s">
        <v>1218</v>
      </c>
      <c r="E575" s="236" t="s">
        <v>958</v>
      </c>
      <c r="F575" s="236" t="s">
        <v>957</v>
      </c>
      <c r="G575" s="247" t="s">
        <v>1219</v>
      </c>
      <c r="H575" s="247" t="s">
        <v>1220</v>
      </c>
      <c r="I575" s="247" t="s">
        <v>1221</v>
      </c>
      <c r="J575" s="248">
        <v>120.2</v>
      </c>
      <c r="K575" s="238">
        <f>S575*1</f>
        <v>4182.96</v>
      </c>
      <c r="L575" s="238">
        <f>S575*1</f>
        <v>4182.96</v>
      </c>
      <c r="M575" s="199" t="s">
        <v>42</v>
      </c>
      <c r="N575" s="195">
        <v>0</v>
      </c>
      <c r="O575" s="195">
        <v>0</v>
      </c>
      <c r="P575" s="241" t="s">
        <v>1219</v>
      </c>
      <c r="Q575" s="237"/>
      <c r="R575" s="174"/>
      <c r="S575" s="245">
        <f>14.5*J575*1*(1+0.1+0.9)*1.2</f>
        <v>4182.96</v>
      </c>
    </row>
    <row r="576" spans="1:19" s="181" customFormat="1" ht="20.399999999999999" x14ac:dyDescent="0.2">
      <c r="A576" s="237"/>
      <c r="B576" s="244"/>
      <c r="C576" s="236"/>
      <c r="D576" s="237"/>
      <c r="E576" s="244"/>
      <c r="F576" s="244"/>
      <c r="G576" s="237"/>
      <c r="H576" s="237"/>
      <c r="I576" s="237"/>
      <c r="J576" s="237"/>
      <c r="K576" s="238"/>
      <c r="L576" s="238"/>
      <c r="M576" s="199" t="s">
        <v>43</v>
      </c>
      <c r="N576" s="195">
        <v>0</v>
      </c>
      <c r="O576" s="195">
        <v>0</v>
      </c>
      <c r="P576" s="241"/>
      <c r="Q576" s="237"/>
      <c r="R576" s="174"/>
      <c r="S576" s="252"/>
    </row>
    <row r="577" spans="1:19" s="181" customFormat="1" ht="10.199999999999999" x14ac:dyDescent="0.2">
      <c r="A577" s="237"/>
      <c r="B577" s="244"/>
      <c r="C577" s="236"/>
      <c r="D577" s="237"/>
      <c r="E577" s="244"/>
      <c r="F577" s="244"/>
      <c r="G577" s="237"/>
      <c r="H577" s="237"/>
      <c r="I577" s="237"/>
      <c r="J577" s="237"/>
      <c r="K577" s="238"/>
      <c r="L577" s="238"/>
      <c r="M577" s="199" t="s">
        <v>44</v>
      </c>
      <c r="N577" s="195">
        <v>0</v>
      </c>
      <c r="O577" s="195">
        <v>0</v>
      </c>
      <c r="P577" s="241"/>
      <c r="Q577" s="237"/>
      <c r="R577" s="174"/>
      <c r="S577" s="252"/>
    </row>
    <row r="578" spans="1:19" s="181" customFormat="1" ht="10.199999999999999" x14ac:dyDescent="0.2">
      <c r="A578" s="237"/>
      <c r="B578" s="244"/>
      <c r="C578" s="236"/>
      <c r="D578" s="237"/>
      <c r="E578" s="244"/>
      <c r="F578" s="244"/>
      <c r="G578" s="237"/>
      <c r="H578" s="237"/>
      <c r="I578" s="237"/>
      <c r="J578" s="237"/>
      <c r="K578" s="238"/>
      <c r="L578" s="238"/>
      <c r="M578" s="199" t="s">
        <v>45</v>
      </c>
      <c r="N578" s="195">
        <v>0</v>
      </c>
      <c r="O578" s="195">
        <v>0</v>
      </c>
      <c r="P578" s="237"/>
      <c r="Q578" s="237"/>
      <c r="R578" s="174"/>
      <c r="S578" s="252"/>
    </row>
    <row r="579" spans="1:19" s="181" customFormat="1" ht="10.199999999999999" x14ac:dyDescent="0.2">
      <c r="A579" s="237"/>
      <c r="B579" s="244"/>
      <c r="C579" s="236"/>
      <c r="D579" s="237"/>
      <c r="E579" s="244"/>
      <c r="F579" s="244"/>
      <c r="G579" s="237"/>
      <c r="H579" s="237"/>
      <c r="I579" s="237"/>
      <c r="J579" s="237"/>
      <c r="K579" s="238"/>
      <c r="L579" s="238"/>
      <c r="M579" s="199" t="s">
        <v>46</v>
      </c>
      <c r="N579" s="195">
        <v>0</v>
      </c>
      <c r="O579" s="195">
        <v>0</v>
      </c>
      <c r="P579" s="237"/>
      <c r="Q579" s="237"/>
      <c r="R579" s="174"/>
      <c r="S579" s="252"/>
    </row>
    <row r="580" spans="1:19" s="181" customFormat="1" ht="10.199999999999999" x14ac:dyDescent="0.2">
      <c r="A580" s="237"/>
      <c r="B580" s="244"/>
      <c r="C580" s="236"/>
      <c r="D580" s="237"/>
      <c r="E580" s="244"/>
      <c r="F580" s="244"/>
      <c r="G580" s="237"/>
      <c r="H580" s="237"/>
      <c r="I580" s="237"/>
      <c r="J580" s="237"/>
      <c r="K580" s="238"/>
      <c r="L580" s="238"/>
      <c r="M580" s="211" t="s">
        <v>1245</v>
      </c>
      <c r="N580" s="195">
        <v>0</v>
      </c>
      <c r="O580" s="195">
        <v>0</v>
      </c>
      <c r="P580" s="237"/>
      <c r="Q580" s="237"/>
      <c r="R580" s="174"/>
      <c r="S580" s="252"/>
    </row>
    <row r="581" spans="1:19" s="181" customFormat="1" ht="10.199999999999999" x14ac:dyDescent="0.2">
      <c r="A581" s="237">
        <f>A575+1</f>
        <v>95</v>
      </c>
      <c r="B581" s="243">
        <v>44763</v>
      </c>
      <c r="C581" s="243">
        <v>36891</v>
      </c>
      <c r="D581" s="247" t="s">
        <v>1222</v>
      </c>
      <c r="E581" s="236" t="s">
        <v>958</v>
      </c>
      <c r="F581" s="236" t="s">
        <v>957</v>
      </c>
      <c r="G581" s="247" t="s">
        <v>1223</v>
      </c>
      <c r="H581" s="247" t="s">
        <v>1224</v>
      </c>
      <c r="I581" s="247" t="s">
        <v>1227</v>
      </c>
      <c r="J581" s="248">
        <v>144.1</v>
      </c>
      <c r="K581" s="238">
        <f>S581*2.3</f>
        <v>2076.0775199999998</v>
      </c>
      <c r="L581" s="238">
        <f>S581*2.3</f>
        <v>2076.0775199999998</v>
      </c>
      <c r="M581" s="199" t="s">
        <v>42</v>
      </c>
      <c r="N581" s="195">
        <v>0</v>
      </c>
      <c r="O581" s="195">
        <v>0</v>
      </c>
      <c r="P581" s="241" t="s">
        <v>1223</v>
      </c>
      <c r="Q581" s="237"/>
      <c r="R581" s="174"/>
      <c r="S581" s="250">
        <f>14.5*J581*1.2*(1+0.1+0.7)*0.2</f>
        <v>902.64239999999995</v>
      </c>
    </row>
    <row r="582" spans="1:19" s="181" customFormat="1" ht="20.399999999999999" x14ac:dyDescent="0.2">
      <c r="A582" s="237"/>
      <c r="B582" s="244"/>
      <c r="C582" s="236"/>
      <c r="D582" s="237"/>
      <c r="E582" s="244"/>
      <c r="F582" s="244"/>
      <c r="G582" s="237"/>
      <c r="H582" s="237"/>
      <c r="I582" s="237"/>
      <c r="J582" s="237"/>
      <c r="K582" s="238"/>
      <c r="L582" s="238"/>
      <c r="M582" s="199" t="s">
        <v>43</v>
      </c>
      <c r="N582" s="195">
        <v>0</v>
      </c>
      <c r="O582" s="195">
        <v>0</v>
      </c>
      <c r="P582" s="241"/>
      <c r="Q582" s="237"/>
      <c r="R582" s="174"/>
      <c r="S582" s="236"/>
    </row>
    <row r="583" spans="1:19" s="181" customFormat="1" ht="10.199999999999999" x14ac:dyDescent="0.2">
      <c r="A583" s="237"/>
      <c r="B583" s="244"/>
      <c r="C583" s="236"/>
      <c r="D583" s="237"/>
      <c r="E583" s="244"/>
      <c r="F583" s="244"/>
      <c r="G583" s="237"/>
      <c r="H583" s="236" t="s">
        <v>1225</v>
      </c>
      <c r="I583" s="237"/>
      <c r="J583" s="237">
        <v>74.3</v>
      </c>
      <c r="K583" s="238"/>
      <c r="L583" s="238"/>
      <c r="M583" s="199" t="s">
        <v>44</v>
      </c>
      <c r="N583" s="195">
        <v>0</v>
      </c>
      <c r="O583" s="195">
        <v>0</v>
      </c>
      <c r="P583" s="241"/>
      <c r="Q583" s="237"/>
      <c r="R583" s="174"/>
      <c r="S583" s="250">
        <f>14.5*J583*1*(1+0.1+0.5)*0.2</f>
        <v>344.75200000000001</v>
      </c>
    </row>
    <row r="584" spans="1:19" s="181" customFormat="1" ht="10.199999999999999" x14ac:dyDescent="0.2">
      <c r="A584" s="237"/>
      <c r="B584" s="244"/>
      <c r="C584" s="236"/>
      <c r="D584" s="237"/>
      <c r="E584" s="244"/>
      <c r="F584" s="244"/>
      <c r="G584" s="237"/>
      <c r="H584" s="236"/>
      <c r="I584" s="237"/>
      <c r="J584" s="237"/>
      <c r="K584" s="238"/>
      <c r="L584" s="238"/>
      <c r="M584" s="199" t="s">
        <v>45</v>
      </c>
      <c r="N584" s="195">
        <v>0</v>
      </c>
      <c r="O584" s="195">
        <v>0</v>
      </c>
      <c r="P584" s="237"/>
      <c r="Q584" s="237"/>
      <c r="R584" s="174"/>
      <c r="S584" s="236"/>
    </row>
    <row r="585" spans="1:19" s="181" customFormat="1" ht="10.199999999999999" x14ac:dyDescent="0.2">
      <c r="A585" s="237"/>
      <c r="B585" s="244"/>
      <c r="C585" s="236"/>
      <c r="D585" s="237"/>
      <c r="E585" s="244"/>
      <c r="F585" s="244"/>
      <c r="G585" s="237"/>
      <c r="H585" s="236" t="s">
        <v>1226</v>
      </c>
      <c r="I585" s="237"/>
      <c r="J585" s="237">
        <v>91.5</v>
      </c>
      <c r="K585" s="238"/>
      <c r="L585" s="238"/>
      <c r="M585" s="199" t="s">
        <v>46</v>
      </c>
      <c r="N585" s="195">
        <v>0</v>
      </c>
      <c r="O585" s="195">
        <v>0</v>
      </c>
      <c r="P585" s="237"/>
      <c r="Q585" s="237"/>
      <c r="R585" s="174"/>
      <c r="S585" s="198"/>
    </row>
    <row r="586" spans="1:19" s="181" customFormat="1" ht="10.199999999999999" x14ac:dyDescent="0.2">
      <c r="A586" s="237"/>
      <c r="B586" s="244"/>
      <c r="C586" s="236"/>
      <c r="D586" s="237"/>
      <c r="E586" s="244"/>
      <c r="F586" s="244"/>
      <c r="G586" s="237"/>
      <c r="H586" s="236"/>
      <c r="I586" s="237"/>
      <c r="J586" s="237"/>
      <c r="K586" s="238"/>
      <c r="L586" s="238"/>
      <c r="M586" s="211" t="s">
        <v>1245</v>
      </c>
      <c r="N586" s="195">
        <v>0</v>
      </c>
      <c r="O586" s="195">
        <v>0</v>
      </c>
      <c r="P586" s="237"/>
      <c r="Q586" s="237"/>
      <c r="R586" s="174"/>
      <c r="S586" s="208">
        <f>14.5*J583*1*(1+0.1+0.5)*0.2</f>
        <v>344.75200000000001</v>
      </c>
    </row>
    <row r="587" spans="1:19" s="181" customFormat="1" ht="10.199999999999999" x14ac:dyDescent="0.2">
      <c r="A587" s="237">
        <f>A581+1</f>
        <v>96</v>
      </c>
      <c r="B587" s="243">
        <v>44791</v>
      </c>
      <c r="C587" s="243">
        <v>44759</v>
      </c>
      <c r="D587" s="236" t="s">
        <v>1232</v>
      </c>
      <c r="E587" s="236" t="s">
        <v>958</v>
      </c>
      <c r="F587" s="236" t="s">
        <v>957</v>
      </c>
      <c r="G587" s="236" t="s">
        <v>1233</v>
      </c>
      <c r="H587" s="236" t="s">
        <v>1234</v>
      </c>
      <c r="I587" s="236" t="s">
        <v>1235</v>
      </c>
      <c r="J587" s="236">
        <v>17.350000000000001</v>
      </c>
      <c r="K587" s="238">
        <f>S587*1.4</f>
        <v>81.678945143432301</v>
      </c>
      <c r="L587" s="238">
        <f>S587*1.4</f>
        <v>81.678945143432301</v>
      </c>
      <c r="M587" s="199" t="s">
        <v>42</v>
      </c>
      <c r="N587" s="197">
        <v>0</v>
      </c>
      <c r="O587" s="197">
        <v>0</v>
      </c>
      <c r="P587" s="241" t="s">
        <v>1233</v>
      </c>
      <c r="Q587" s="237"/>
      <c r="R587" s="174"/>
      <c r="S587" s="245">
        <f>14.5*J587*1*(1+0.1+0.9)*1.2*12/1987*16</f>
        <v>58.342103673880217</v>
      </c>
    </row>
    <row r="588" spans="1:19" s="181" customFormat="1" ht="20.399999999999999" x14ac:dyDescent="0.2">
      <c r="A588" s="237"/>
      <c r="B588" s="244"/>
      <c r="C588" s="236"/>
      <c r="D588" s="244"/>
      <c r="E588" s="236"/>
      <c r="F588" s="244"/>
      <c r="G588" s="244"/>
      <c r="H588" s="244"/>
      <c r="I588" s="244"/>
      <c r="J588" s="244"/>
      <c r="K588" s="238"/>
      <c r="L588" s="238"/>
      <c r="M588" s="199" t="s">
        <v>43</v>
      </c>
      <c r="N588" s="197">
        <v>0</v>
      </c>
      <c r="O588" s="197">
        <v>0</v>
      </c>
      <c r="P588" s="238"/>
      <c r="Q588" s="237"/>
      <c r="R588" s="174"/>
      <c r="S588" s="246"/>
    </row>
    <row r="589" spans="1:19" s="181" customFormat="1" ht="10.199999999999999" x14ac:dyDescent="0.2">
      <c r="A589" s="237"/>
      <c r="B589" s="244"/>
      <c r="C589" s="236"/>
      <c r="D589" s="244"/>
      <c r="E589" s="236"/>
      <c r="F589" s="244"/>
      <c r="G589" s="244"/>
      <c r="H589" s="244"/>
      <c r="I589" s="244"/>
      <c r="J589" s="244"/>
      <c r="K589" s="238"/>
      <c r="L589" s="238"/>
      <c r="M589" s="199" t="s">
        <v>44</v>
      </c>
      <c r="N589" s="197">
        <v>0</v>
      </c>
      <c r="O589" s="197">
        <v>0</v>
      </c>
      <c r="P589" s="238"/>
      <c r="Q589" s="237"/>
      <c r="R589" s="174"/>
      <c r="S589" s="246"/>
    </row>
    <row r="590" spans="1:19" s="181" customFormat="1" ht="10.199999999999999" x14ac:dyDescent="0.2">
      <c r="A590" s="237"/>
      <c r="B590" s="244"/>
      <c r="C590" s="236"/>
      <c r="D590" s="244"/>
      <c r="E590" s="236"/>
      <c r="F590" s="244"/>
      <c r="G590" s="244"/>
      <c r="H590" s="244"/>
      <c r="I590" s="244"/>
      <c r="J590" s="244"/>
      <c r="K590" s="238"/>
      <c r="L590" s="238"/>
      <c r="M590" s="199" t="s">
        <v>45</v>
      </c>
      <c r="N590" s="197">
        <v>0</v>
      </c>
      <c r="O590" s="197">
        <v>0</v>
      </c>
      <c r="P590" s="238"/>
      <c r="Q590" s="237"/>
      <c r="R590" s="174"/>
      <c r="S590" s="246"/>
    </row>
    <row r="591" spans="1:19" s="181" customFormat="1" ht="10.199999999999999" x14ac:dyDescent="0.2">
      <c r="A591" s="237"/>
      <c r="B591" s="244"/>
      <c r="C591" s="236"/>
      <c r="D591" s="244"/>
      <c r="E591" s="236"/>
      <c r="F591" s="244"/>
      <c r="G591" s="244"/>
      <c r="H591" s="244"/>
      <c r="I591" s="244"/>
      <c r="J591" s="244"/>
      <c r="K591" s="238"/>
      <c r="L591" s="238"/>
      <c r="M591" s="199" t="s">
        <v>46</v>
      </c>
      <c r="N591" s="197">
        <v>0</v>
      </c>
      <c r="O591" s="197">
        <v>0</v>
      </c>
      <c r="P591" s="238"/>
      <c r="Q591" s="237"/>
      <c r="R591" s="174"/>
      <c r="S591" s="246"/>
    </row>
    <row r="592" spans="1:19" s="181" customFormat="1" ht="10.199999999999999" x14ac:dyDescent="0.2">
      <c r="A592" s="237"/>
      <c r="B592" s="244"/>
      <c r="C592" s="236"/>
      <c r="D592" s="244"/>
      <c r="E592" s="236"/>
      <c r="F592" s="244"/>
      <c r="G592" s="244"/>
      <c r="H592" s="244"/>
      <c r="I592" s="244"/>
      <c r="J592" s="244"/>
      <c r="K592" s="238"/>
      <c r="L592" s="238"/>
      <c r="M592" s="211" t="s">
        <v>1245</v>
      </c>
      <c r="N592" s="197">
        <v>0</v>
      </c>
      <c r="O592" s="197">
        <v>0</v>
      </c>
      <c r="P592" s="238"/>
      <c r="Q592" s="237"/>
      <c r="R592" s="174"/>
      <c r="S592" s="246"/>
    </row>
    <row r="593" spans="1:19" s="181" customFormat="1" ht="10.199999999999999" x14ac:dyDescent="0.2">
      <c r="A593" s="237">
        <f>A587+1</f>
        <v>97</v>
      </c>
      <c r="B593" s="243">
        <v>44791</v>
      </c>
      <c r="C593" s="243">
        <v>45886</v>
      </c>
      <c r="D593" s="236" t="s">
        <v>1236</v>
      </c>
      <c r="E593" s="236" t="s">
        <v>958</v>
      </c>
      <c r="F593" s="236" t="s">
        <v>957</v>
      </c>
      <c r="G593" s="236" t="s">
        <v>318</v>
      </c>
      <c r="H593" s="236" t="s">
        <v>1015</v>
      </c>
      <c r="I593" s="236" t="s">
        <v>1237</v>
      </c>
      <c r="J593" s="236">
        <v>28.25</v>
      </c>
      <c r="K593" s="238">
        <f>S593*9</f>
        <v>854.95561147458466</v>
      </c>
      <c r="L593" s="238">
        <f>S593*3</f>
        <v>284.98520382486157</v>
      </c>
      <c r="M593" s="199" t="s">
        <v>42</v>
      </c>
      <c r="N593" s="197">
        <v>0</v>
      </c>
      <c r="O593" s="197">
        <v>0</v>
      </c>
      <c r="P593" s="241" t="s">
        <v>318</v>
      </c>
      <c r="Q593" s="237"/>
      <c r="R593" s="174"/>
      <c r="S593" s="245">
        <f>14.5*J593*1*(1+0.1+0.9)*1.2*12/1987*16</f>
        <v>94.995067941620519</v>
      </c>
    </row>
    <row r="594" spans="1:19" s="181" customFormat="1" ht="20.399999999999999" x14ac:dyDescent="0.2">
      <c r="A594" s="237"/>
      <c r="B594" s="257"/>
      <c r="C594" s="251"/>
      <c r="D594" s="257"/>
      <c r="E594" s="236"/>
      <c r="F594" s="257"/>
      <c r="G594" s="257"/>
      <c r="H594" s="257"/>
      <c r="I594" s="257"/>
      <c r="J594" s="257"/>
      <c r="K594" s="239"/>
      <c r="L594" s="239"/>
      <c r="M594" s="199" t="s">
        <v>43</v>
      </c>
      <c r="N594" s="197">
        <v>0</v>
      </c>
      <c r="O594" s="197">
        <v>0</v>
      </c>
      <c r="P594" s="239"/>
      <c r="Q594" s="237"/>
      <c r="R594" s="174"/>
      <c r="S594" s="407"/>
    </row>
    <row r="595" spans="1:19" s="181" customFormat="1" ht="10.199999999999999" x14ac:dyDescent="0.2">
      <c r="A595" s="237"/>
      <c r="B595" s="257"/>
      <c r="C595" s="251"/>
      <c r="D595" s="257"/>
      <c r="E595" s="236"/>
      <c r="F595" s="257"/>
      <c r="G595" s="257"/>
      <c r="H595" s="257"/>
      <c r="I595" s="257"/>
      <c r="J595" s="257"/>
      <c r="K595" s="239"/>
      <c r="L595" s="239"/>
      <c r="M595" s="199" t="s">
        <v>44</v>
      </c>
      <c r="N595" s="197">
        <v>0</v>
      </c>
      <c r="O595" s="197">
        <v>0</v>
      </c>
      <c r="P595" s="239"/>
      <c r="Q595" s="237"/>
      <c r="R595" s="174"/>
      <c r="S595" s="407"/>
    </row>
    <row r="596" spans="1:19" s="181" customFormat="1" ht="10.199999999999999" x14ac:dyDescent="0.2">
      <c r="A596" s="237"/>
      <c r="B596" s="257"/>
      <c r="C596" s="251"/>
      <c r="D596" s="257"/>
      <c r="E596" s="236"/>
      <c r="F596" s="257"/>
      <c r="G596" s="257"/>
      <c r="H596" s="257"/>
      <c r="I596" s="257"/>
      <c r="J596" s="257"/>
      <c r="K596" s="239"/>
      <c r="L596" s="239"/>
      <c r="M596" s="199" t="s">
        <v>45</v>
      </c>
      <c r="N596" s="197">
        <v>0</v>
      </c>
      <c r="O596" s="197">
        <v>0</v>
      </c>
      <c r="P596" s="239"/>
      <c r="Q596" s="237"/>
      <c r="R596" s="174"/>
      <c r="S596" s="407"/>
    </row>
    <row r="597" spans="1:19" s="181" customFormat="1" ht="10.199999999999999" x14ac:dyDescent="0.2">
      <c r="A597" s="237"/>
      <c r="B597" s="257"/>
      <c r="C597" s="251"/>
      <c r="D597" s="257"/>
      <c r="E597" s="236"/>
      <c r="F597" s="257"/>
      <c r="G597" s="257"/>
      <c r="H597" s="257"/>
      <c r="I597" s="257"/>
      <c r="J597" s="257"/>
      <c r="K597" s="239"/>
      <c r="L597" s="239"/>
      <c r="M597" s="199" t="s">
        <v>46</v>
      </c>
      <c r="N597" s="197">
        <v>0</v>
      </c>
      <c r="O597" s="197">
        <v>0</v>
      </c>
      <c r="P597" s="239"/>
      <c r="Q597" s="237"/>
      <c r="R597" s="174"/>
      <c r="S597" s="407"/>
    </row>
    <row r="598" spans="1:19" s="181" customFormat="1" ht="10.199999999999999" x14ac:dyDescent="0.2">
      <c r="A598" s="237"/>
      <c r="B598" s="257"/>
      <c r="C598" s="251"/>
      <c r="D598" s="257"/>
      <c r="E598" s="236"/>
      <c r="F598" s="257"/>
      <c r="G598" s="257"/>
      <c r="H598" s="257"/>
      <c r="I598" s="257"/>
      <c r="J598" s="257"/>
      <c r="K598" s="239"/>
      <c r="L598" s="239"/>
      <c r="M598" s="211" t="s">
        <v>1245</v>
      </c>
      <c r="N598" s="201">
        <v>48.32</v>
      </c>
      <c r="O598" s="201">
        <v>48.32</v>
      </c>
      <c r="P598" s="239"/>
      <c r="Q598" s="237"/>
      <c r="R598" s="174"/>
      <c r="S598" s="407"/>
    </row>
    <row r="599" spans="1:19" s="181" customFormat="1" ht="10.199999999999999" x14ac:dyDescent="0.2">
      <c r="A599" s="421"/>
      <c r="B599" s="426" t="s">
        <v>1145</v>
      </c>
      <c r="C599" s="427"/>
      <c r="D599" s="427"/>
      <c r="E599" s="427"/>
      <c r="F599" s="427"/>
      <c r="G599" s="427"/>
      <c r="H599" s="427"/>
      <c r="I599" s="427"/>
      <c r="J599" s="238">
        <f>SUM(J341:J598)-J401-J431-J587</f>
        <v>5301.45</v>
      </c>
      <c r="K599" s="238">
        <f>SUM(K341:K598)</f>
        <v>1030466.6074113789</v>
      </c>
      <c r="L599" s="238">
        <f>SUM(L341:L598)</f>
        <v>357669.14404722187</v>
      </c>
      <c r="M599" s="178" t="s">
        <v>69</v>
      </c>
      <c r="N599" s="212">
        <f>N600+N601+N602+N603+N604+N605</f>
        <v>33780.089999999997</v>
      </c>
      <c r="O599" s="212">
        <f>O600+O601+O602+O603+O604+O605</f>
        <v>3706.1400000000003</v>
      </c>
      <c r="P599" s="244"/>
      <c r="Q599" s="244"/>
      <c r="R599" s="174"/>
      <c r="S599" s="406"/>
    </row>
    <row r="600" spans="1:19" s="181" customFormat="1" ht="10.199999999999999" x14ac:dyDescent="0.2">
      <c r="A600" s="421"/>
      <c r="B600" s="426"/>
      <c r="C600" s="427"/>
      <c r="D600" s="427"/>
      <c r="E600" s="427"/>
      <c r="F600" s="427"/>
      <c r="G600" s="427"/>
      <c r="H600" s="427"/>
      <c r="I600" s="427"/>
      <c r="J600" s="238"/>
      <c r="K600" s="238"/>
      <c r="L600" s="238"/>
      <c r="M600" s="179" t="s">
        <v>42</v>
      </c>
      <c r="N600" s="197">
        <f>N413+N431+N479+N485+N503+N509+N515+N569+N575+N581+N587+N593</f>
        <v>13859.15</v>
      </c>
      <c r="O600" s="197">
        <f>O413+O431+O479+O485+O503+O509+O515+O569+O575+O581+O587+O593</f>
        <v>19.02</v>
      </c>
      <c r="P600" s="257"/>
      <c r="Q600" s="257"/>
      <c r="R600" s="174"/>
      <c r="S600" s="406"/>
    </row>
    <row r="601" spans="1:19" s="181" customFormat="1" ht="20.399999999999999" x14ac:dyDescent="0.2">
      <c r="A601" s="421"/>
      <c r="B601" s="426"/>
      <c r="C601" s="427"/>
      <c r="D601" s="427"/>
      <c r="E601" s="427"/>
      <c r="F601" s="427"/>
      <c r="G601" s="427"/>
      <c r="H601" s="427"/>
      <c r="I601" s="427"/>
      <c r="J601" s="238"/>
      <c r="K601" s="238"/>
      <c r="L601" s="238"/>
      <c r="M601" s="179" t="s">
        <v>43</v>
      </c>
      <c r="N601" s="197">
        <f t="shared" ref="N601:O604" si="4">N414+N432+N480+N486+N498+N504+N510+N516+N570+N576+N582+N588+N594</f>
        <v>10081.859999999999</v>
      </c>
      <c r="O601" s="197">
        <f t="shared" si="4"/>
        <v>15.02</v>
      </c>
      <c r="P601" s="257"/>
      <c r="Q601" s="257"/>
      <c r="R601" s="174"/>
      <c r="S601" s="406"/>
    </row>
    <row r="602" spans="1:19" s="181" customFormat="1" ht="10.199999999999999" x14ac:dyDescent="0.2">
      <c r="A602" s="421"/>
      <c r="B602" s="426"/>
      <c r="C602" s="427"/>
      <c r="D602" s="427"/>
      <c r="E602" s="427"/>
      <c r="F602" s="427"/>
      <c r="G602" s="427"/>
      <c r="H602" s="427"/>
      <c r="I602" s="427"/>
      <c r="J602" s="238"/>
      <c r="K602" s="238"/>
      <c r="L602" s="238"/>
      <c r="M602" s="179" t="s">
        <v>44</v>
      </c>
      <c r="N602" s="197">
        <f t="shared" si="4"/>
        <v>0</v>
      </c>
      <c r="O602" s="197">
        <f t="shared" si="4"/>
        <v>0</v>
      </c>
      <c r="P602" s="257"/>
      <c r="Q602" s="257"/>
      <c r="R602" s="174"/>
      <c r="S602" s="406"/>
    </row>
    <row r="603" spans="1:19" s="181" customFormat="1" ht="10.199999999999999" x14ac:dyDescent="0.2">
      <c r="A603" s="421"/>
      <c r="B603" s="426"/>
      <c r="C603" s="427"/>
      <c r="D603" s="427"/>
      <c r="E603" s="427"/>
      <c r="F603" s="427"/>
      <c r="G603" s="427"/>
      <c r="H603" s="427"/>
      <c r="I603" s="427"/>
      <c r="J603" s="238"/>
      <c r="K603" s="238"/>
      <c r="L603" s="238"/>
      <c r="M603" s="179" t="s">
        <v>45</v>
      </c>
      <c r="N603" s="197">
        <f t="shared" si="4"/>
        <v>10.01</v>
      </c>
      <c r="O603" s="197">
        <f t="shared" si="4"/>
        <v>6.44</v>
      </c>
      <c r="P603" s="257"/>
      <c r="Q603" s="257"/>
      <c r="R603" s="174"/>
      <c r="S603" s="406"/>
    </row>
    <row r="604" spans="1:19" s="181" customFormat="1" ht="10.199999999999999" x14ac:dyDescent="0.2">
      <c r="A604" s="421"/>
      <c r="B604" s="426"/>
      <c r="C604" s="427"/>
      <c r="D604" s="427"/>
      <c r="E604" s="427"/>
      <c r="F604" s="427"/>
      <c r="G604" s="427"/>
      <c r="H604" s="427"/>
      <c r="I604" s="427"/>
      <c r="J604" s="238"/>
      <c r="K604" s="238"/>
      <c r="L604" s="238"/>
      <c r="M604" s="179" t="s">
        <v>46</v>
      </c>
      <c r="N604" s="197">
        <f t="shared" si="4"/>
        <v>26.27</v>
      </c>
      <c r="O604" s="197">
        <f t="shared" si="4"/>
        <v>10.3</v>
      </c>
      <c r="P604" s="257"/>
      <c r="Q604" s="257"/>
      <c r="R604" s="174"/>
      <c r="S604" s="406"/>
    </row>
    <row r="605" spans="1:19" s="181" customFormat="1" ht="10.199999999999999" x14ac:dyDescent="0.2">
      <c r="A605" s="421"/>
      <c r="B605" s="426"/>
      <c r="C605" s="427"/>
      <c r="D605" s="427"/>
      <c r="E605" s="427"/>
      <c r="F605" s="427"/>
      <c r="G605" s="427"/>
      <c r="H605" s="427"/>
      <c r="I605" s="427"/>
      <c r="J605" s="238"/>
      <c r="K605" s="238"/>
      <c r="L605" s="238"/>
      <c r="M605" s="179" t="s">
        <v>1245</v>
      </c>
      <c r="N605" s="197">
        <f>N346+N352+N358+N364+N370+N376+N382+N388+N400++N418+N442+N448+N454+N460+N466+N472+N484+N490+N496+N574+N430+N436+N580+N586+N592+N598</f>
        <v>9802.7999999999993</v>
      </c>
      <c r="O605" s="197">
        <f>O346+O352+O358+O364+O370+O376+O382+O388+O400++O418+O442+O448+O454+O460+O466+O472+O484+O490+O496+O574+O430+O436+O580+O586+O592+O598</f>
        <v>3655.36</v>
      </c>
      <c r="P605" s="257"/>
      <c r="Q605" s="257"/>
      <c r="R605" s="174"/>
      <c r="S605" s="406"/>
    </row>
    <row r="606" spans="1:19" s="181" customFormat="1" ht="15.6" x14ac:dyDescent="0.3">
      <c r="A606" s="281" t="s">
        <v>1049</v>
      </c>
      <c r="B606" s="281"/>
      <c r="C606" s="281"/>
      <c r="D606" s="281"/>
      <c r="E606" s="281"/>
      <c r="F606" s="281"/>
      <c r="G606" s="281"/>
      <c r="H606" s="281"/>
      <c r="I606" s="281"/>
      <c r="J606" s="281"/>
      <c r="K606" s="281"/>
      <c r="L606" s="281"/>
      <c r="M606" s="281"/>
      <c r="N606" s="281"/>
      <c r="O606" s="281"/>
      <c r="P606" s="261"/>
      <c r="Q606" s="261"/>
      <c r="R606" s="174"/>
      <c r="S606" s="202"/>
    </row>
    <row r="607" spans="1:19" s="181" customFormat="1" ht="30.6" x14ac:dyDescent="0.2">
      <c r="A607" s="237">
        <v>98</v>
      </c>
      <c r="B607" s="259">
        <v>44407</v>
      </c>
      <c r="C607" s="259">
        <v>46232</v>
      </c>
      <c r="D607" s="428" t="s">
        <v>1254</v>
      </c>
      <c r="E607" s="236" t="s">
        <v>958</v>
      </c>
      <c r="F607" s="236" t="s">
        <v>957</v>
      </c>
      <c r="G607" s="236" t="s">
        <v>194</v>
      </c>
      <c r="H607" s="208" t="s">
        <v>1281</v>
      </c>
      <c r="I607" s="247" t="s">
        <v>197</v>
      </c>
      <c r="J607" s="209">
        <v>87</v>
      </c>
      <c r="K607" s="197">
        <f t="shared" ref="K607:K627" si="5">S607*9</f>
        <v>21798.720000000001</v>
      </c>
      <c r="L607" s="197">
        <f>S607*3</f>
        <v>7266.24</v>
      </c>
      <c r="M607" s="179"/>
      <c r="N607" s="174"/>
      <c r="O607" s="203"/>
      <c r="P607" s="236" t="s">
        <v>194</v>
      </c>
      <c r="Q607" s="236" t="s">
        <v>1255</v>
      </c>
      <c r="R607" s="174"/>
      <c r="S607" s="202">
        <f>14.5*J607*1.2*(1+0.1+0.9)*0.8</f>
        <v>2422.08</v>
      </c>
    </row>
    <row r="608" spans="1:19" s="181" customFormat="1" ht="30.6" x14ac:dyDescent="0.2">
      <c r="A608" s="237"/>
      <c r="B608" s="236"/>
      <c r="C608" s="236"/>
      <c r="D608" s="236"/>
      <c r="E608" s="236"/>
      <c r="F608" s="236"/>
      <c r="G608" s="236"/>
      <c r="H608" s="208" t="s">
        <v>1050</v>
      </c>
      <c r="I608" s="429"/>
      <c r="J608" s="209">
        <v>51.8</v>
      </c>
      <c r="K608" s="197">
        <f t="shared" si="5"/>
        <v>10815.84</v>
      </c>
      <c r="L608" s="197">
        <f t="shared" ref="L608:L625" si="6">S608*3</f>
        <v>3605.2799999999997</v>
      </c>
      <c r="M608" s="179"/>
      <c r="N608" s="174"/>
      <c r="O608" s="203"/>
      <c r="P608" s="236"/>
      <c r="Q608" s="236"/>
      <c r="R608" s="174"/>
      <c r="S608" s="202">
        <f>14.5*J608*1*(1+0.1+0.9)*0.8</f>
        <v>1201.76</v>
      </c>
    </row>
    <row r="609" spans="1:19" s="181" customFormat="1" ht="30.6" x14ac:dyDescent="0.2">
      <c r="A609" s="237"/>
      <c r="B609" s="236"/>
      <c r="C609" s="236"/>
      <c r="D609" s="236"/>
      <c r="E609" s="236"/>
      <c r="F609" s="236"/>
      <c r="G609" s="236"/>
      <c r="H609" s="208" t="s">
        <v>1051</v>
      </c>
      <c r="I609" s="429"/>
      <c r="J609" s="209">
        <v>37.200000000000003</v>
      </c>
      <c r="K609" s="197">
        <f t="shared" si="5"/>
        <v>8544.0960000000032</v>
      </c>
      <c r="L609" s="197">
        <f t="shared" si="6"/>
        <v>2848.0320000000011</v>
      </c>
      <c r="M609" s="199" t="s">
        <v>42</v>
      </c>
      <c r="N609" s="188">
        <v>0</v>
      </c>
      <c r="O609" s="188">
        <v>0</v>
      </c>
      <c r="P609" s="236"/>
      <c r="Q609" s="236"/>
      <c r="R609" s="174"/>
      <c r="S609" s="202">
        <f>14.5*J609*1.1*(1+0.1+0.9)*0.8</f>
        <v>949.34400000000028</v>
      </c>
    </row>
    <row r="610" spans="1:19" s="181" customFormat="1" ht="30.6" x14ac:dyDescent="0.2">
      <c r="A610" s="237"/>
      <c r="B610" s="236"/>
      <c r="C610" s="236"/>
      <c r="D610" s="236"/>
      <c r="E610" s="236"/>
      <c r="F610" s="236"/>
      <c r="G610" s="236"/>
      <c r="H610" s="208" t="s">
        <v>1052</v>
      </c>
      <c r="I610" s="429"/>
      <c r="J610" s="209">
        <v>17.3</v>
      </c>
      <c r="K610" s="197">
        <f t="shared" si="5"/>
        <v>4334.6880000000001</v>
      </c>
      <c r="L610" s="197">
        <f t="shared" si="6"/>
        <v>1444.8960000000002</v>
      </c>
      <c r="M610" s="199" t="s">
        <v>43</v>
      </c>
      <c r="N610" s="188">
        <v>0</v>
      </c>
      <c r="O610" s="188">
        <v>0</v>
      </c>
      <c r="P610" s="236"/>
      <c r="Q610" s="236"/>
      <c r="R610" s="174"/>
      <c r="S610" s="202">
        <f>14.5*J610*1.2*(1+0.1+0.9)*0.8</f>
        <v>481.63200000000006</v>
      </c>
    </row>
    <row r="611" spans="1:19" s="181" customFormat="1" ht="30.6" x14ac:dyDescent="0.2">
      <c r="A611" s="237"/>
      <c r="B611" s="236"/>
      <c r="C611" s="236"/>
      <c r="D611" s="236"/>
      <c r="E611" s="236"/>
      <c r="F611" s="236"/>
      <c r="G611" s="236"/>
      <c r="H611" s="208" t="s">
        <v>1053</v>
      </c>
      <c r="I611" s="429"/>
      <c r="J611" s="209">
        <v>7.56</v>
      </c>
      <c r="K611" s="197">
        <f t="shared" si="5"/>
        <v>1894.2335999999998</v>
      </c>
      <c r="L611" s="197">
        <f t="shared" si="6"/>
        <v>631.41120000000001</v>
      </c>
      <c r="M611" s="199" t="s">
        <v>44</v>
      </c>
      <c r="N611" s="188">
        <v>0</v>
      </c>
      <c r="O611" s="188">
        <v>0</v>
      </c>
      <c r="P611" s="236"/>
      <c r="Q611" s="236"/>
      <c r="R611" s="174"/>
      <c r="S611" s="202">
        <f>14.5*J611*1.2*(1+0.1+0.9)*0.8</f>
        <v>210.47039999999998</v>
      </c>
    </row>
    <row r="612" spans="1:19" s="181" customFormat="1" ht="30.6" x14ac:dyDescent="0.2">
      <c r="A612" s="237"/>
      <c r="B612" s="236"/>
      <c r="C612" s="236"/>
      <c r="D612" s="236"/>
      <c r="E612" s="236"/>
      <c r="F612" s="236"/>
      <c r="G612" s="236"/>
      <c r="H612" s="208" t="s">
        <v>1054</v>
      </c>
      <c r="I612" s="429"/>
      <c r="J612" s="209">
        <v>54.7</v>
      </c>
      <c r="K612" s="197">
        <f t="shared" si="5"/>
        <v>11421.360000000002</v>
      </c>
      <c r="L612" s="197">
        <f t="shared" si="6"/>
        <v>3807.1200000000008</v>
      </c>
      <c r="M612" s="199" t="s">
        <v>45</v>
      </c>
      <c r="N612" s="188">
        <v>0</v>
      </c>
      <c r="O612" s="188">
        <v>0</v>
      </c>
      <c r="P612" s="236"/>
      <c r="Q612" s="236"/>
      <c r="R612" s="174"/>
      <c r="S612" s="202">
        <f>14.5*J612*1*(1+0.1+0.9)*0.8</f>
        <v>1269.0400000000002</v>
      </c>
    </row>
    <row r="613" spans="1:19" s="181" customFormat="1" ht="30.6" x14ac:dyDescent="0.2">
      <c r="A613" s="237"/>
      <c r="B613" s="236"/>
      <c r="C613" s="236"/>
      <c r="D613" s="236"/>
      <c r="E613" s="236"/>
      <c r="F613" s="236"/>
      <c r="G613" s="236"/>
      <c r="H613" s="208" t="s">
        <v>1253</v>
      </c>
      <c r="I613" s="429"/>
      <c r="J613" s="209">
        <v>28.6</v>
      </c>
      <c r="K613" s="197">
        <f t="shared" si="5"/>
        <v>9256.1040000000012</v>
      </c>
      <c r="L613" s="197">
        <f t="shared" si="6"/>
        <v>3085.3680000000004</v>
      </c>
      <c r="M613" s="199" t="s">
        <v>46</v>
      </c>
      <c r="N613" s="188">
        <v>0</v>
      </c>
      <c r="O613" s="188">
        <v>0</v>
      </c>
      <c r="P613" s="236"/>
      <c r="Q613" s="236"/>
      <c r="R613" s="174"/>
      <c r="S613" s="202">
        <f>14.5*J613*1*(1+1.2+0.9)*0.8</f>
        <v>1028.4560000000001</v>
      </c>
    </row>
    <row r="614" spans="1:19" s="181" customFormat="1" ht="30.6" x14ac:dyDescent="0.2">
      <c r="A614" s="237"/>
      <c r="B614" s="236"/>
      <c r="C614" s="236"/>
      <c r="D614" s="236"/>
      <c r="E614" s="236"/>
      <c r="F614" s="236"/>
      <c r="G614" s="236"/>
      <c r="H614" s="208" t="s">
        <v>1055</v>
      </c>
      <c r="I614" s="429"/>
      <c r="J614" s="209">
        <v>15.8</v>
      </c>
      <c r="K614" s="197">
        <f t="shared" si="5"/>
        <v>3299.0400000000004</v>
      </c>
      <c r="L614" s="197">
        <f t="shared" si="6"/>
        <v>1099.6800000000003</v>
      </c>
      <c r="M614" s="199" t="s">
        <v>1245</v>
      </c>
      <c r="N614" s="188">
        <v>401.94</v>
      </c>
      <c r="O614" s="188">
        <v>401.94</v>
      </c>
      <c r="P614" s="236"/>
      <c r="Q614" s="236"/>
      <c r="R614" s="174"/>
      <c r="S614" s="202">
        <f>14.5*J614*1*(1+0.1+0.9)*0.8</f>
        <v>366.56000000000006</v>
      </c>
    </row>
    <row r="615" spans="1:19" s="181" customFormat="1" ht="40.799999999999997" x14ac:dyDescent="0.2">
      <c r="A615" s="237"/>
      <c r="B615" s="236"/>
      <c r="C615" s="236"/>
      <c r="D615" s="236"/>
      <c r="E615" s="236"/>
      <c r="F615" s="236"/>
      <c r="G615" s="236"/>
      <c r="H615" s="208" t="s">
        <v>1056</v>
      </c>
      <c r="I615" s="429"/>
      <c r="J615" s="209">
        <v>20.3</v>
      </c>
      <c r="K615" s="197">
        <f t="shared" si="5"/>
        <v>4238.6400000000003</v>
      </c>
      <c r="L615" s="197">
        <f t="shared" si="6"/>
        <v>1412.88</v>
      </c>
      <c r="M615" s="206"/>
      <c r="N615" s="206"/>
      <c r="O615" s="206"/>
      <c r="P615" s="236"/>
      <c r="Q615" s="236"/>
      <c r="R615" s="174"/>
      <c r="S615" s="202">
        <f>14.5*J615*1*(1+0.1+0.9)*0.8</f>
        <v>470.96000000000004</v>
      </c>
    </row>
    <row r="616" spans="1:19" s="181" customFormat="1" ht="30.6" x14ac:dyDescent="0.2">
      <c r="A616" s="237">
        <f>A607+1</f>
        <v>99</v>
      </c>
      <c r="B616" s="243">
        <v>44407</v>
      </c>
      <c r="C616" s="243">
        <v>46232</v>
      </c>
      <c r="D616" s="247" t="s">
        <v>215</v>
      </c>
      <c r="E616" s="236" t="s">
        <v>958</v>
      </c>
      <c r="F616" s="247" t="s">
        <v>957</v>
      </c>
      <c r="G616" s="247" t="s">
        <v>473</v>
      </c>
      <c r="H616" s="208" t="s">
        <v>1057</v>
      </c>
      <c r="I616" s="247" t="s">
        <v>197</v>
      </c>
      <c r="J616" s="209">
        <v>103.6</v>
      </c>
      <c r="K616" s="197">
        <f t="shared" si="5"/>
        <v>25958.015999999996</v>
      </c>
      <c r="L616" s="197">
        <f t="shared" si="6"/>
        <v>8652.6719999999987</v>
      </c>
      <c r="M616" s="261"/>
      <c r="N616" s="261"/>
      <c r="O616" s="261"/>
      <c r="P616" s="247" t="s">
        <v>216</v>
      </c>
      <c r="Q616" s="244"/>
      <c r="R616" s="174"/>
      <c r="S616" s="202">
        <f>14.5*J616*1.2*(1+0.1+0.9)*0.8</f>
        <v>2884.2239999999997</v>
      </c>
    </row>
    <row r="617" spans="1:19" s="181" customFormat="1" ht="30.6" x14ac:dyDescent="0.2">
      <c r="A617" s="237"/>
      <c r="B617" s="236"/>
      <c r="C617" s="236"/>
      <c r="D617" s="236"/>
      <c r="E617" s="236"/>
      <c r="F617" s="236"/>
      <c r="G617" s="236"/>
      <c r="H617" s="208" t="s">
        <v>1058</v>
      </c>
      <c r="I617" s="283"/>
      <c r="J617" s="209">
        <v>75</v>
      </c>
      <c r="K617" s="197">
        <f t="shared" si="5"/>
        <v>18792</v>
      </c>
      <c r="L617" s="197">
        <f t="shared" si="6"/>
        <v>6264</v>
      </c>
      <c r="M617" s="261"/>
      <c r="N617" s="261"/>
      <c r="O617" s="261"/>
      <c r="P617" s="236"/>
      <c r="Q617" s="261"/>
      <c r="R617" s="174"/>
      <c r="S617" s="202">
        <f>14.5*J617*1.2*(1+0.1+0.9)*0.8</f>
        <v>2088</v>
      </c>
    </row>
    <row r="618" spans="1:19" s="181" customFormat="1" ht="30.6" x14ac:dyDescent="0.2">
      <c r="A618" s="237"/>
      <c r="B618" s="236"/>
      <c r="C618" s="236"/>
      <c r="D618" s="236"/>
      <c r="E618" s="236"/>
      <c r="F618" s="236"/>
      <c r="G618" s="236"/>
      <c r="H618" s="208" t="s">
        <v>1059</v>
      </c>
      <c r="I618" s="283"/>
      <c r="J618" s="209">
        <v>47.3</v>
      </c>
      <c r="K618" s="197">
        <f t="shared" si="5"/>
        <v>10863.864</v>
      </c>
      <c r="L618" s="197">
        <f t="shared" si="6"/>
        <v>3621.288</v>
      </c>
      <c r="M618" s="261"/>
      <c r="N618" s="261"/>
      <c r="O618" s="261"/>
      <c r="P618" s="236"/>
      <c r="Q618" s="261"/>
      <c r="R618" s="174"/>
      <c r="S618" s="202">
        <f>14.5*J618*1.1*(1+0.1+0.9)*0.8</f>
        <v>1207.096</v>
      </c>
    </row>
    <row r="619" spans="1:19" s="181" customFormat="1" ht="30.6" x14ac:dyDescent="0.2">
      <c r="A619" s="237"/>
      <c r="B619" s="236"/>
      <c r="C619" s="236"/>
      <c r="D619" s="236"/>
      <c r="E619" s="236"/>
      <c r="F619" s="236"/>
      <c r="G619" s="236"/>
      <c r="H619" s="208" t="s">
        <v>1060</v>
      </c>
      <c r="I619" s="283"/>
      <c r="J619" s="209">
        <v>14.6</v>
      </c>
      <c r="K619" s="197">
        <f t="shared" si="5"/>
        <v>3658.1759999999995</v>
      </c>
      <c r="L619" s="197">
        <f t="shared" si="6"/>
        <v>1219.3919999999998</v>
      </c>
      <c r="M619" s="199" t="s">
        <v>42</v>
      </c>
      <c r="N619" s="188">
        <v>0</v>
      </c>
      <c r="O619" s="188">
        <v>0</v>
      </c>
      <c r="P619" s="236"/>
      <c r="Q619" s="261"/>
      <c r="R619" s="174"/>
      <c r="S619" s="202">
        <f>14.5*J619*1.2*(1+0.1+0.9)*0.8</f>
        <v>406.46399999999994</v>
      </c>
    </row>
    <row r="620" spans="1:19" s="181" customFormat="1" ht="30.6" x14ac:dyDescent="0.2">
      <c r="A620" s="237"/>
      <c r="B620" s="236"/>
      <c r="C620" s="236"/>
      <c r="D620" s="236"/>
      <c r="E620" s="236"/>
      <c r="F620" s="236"/>
      <c r="G620" s="236"/>
      <c r="H620" s="208" t="s">
        <v>1061</v>
      </c>
      <c r="I620" s="283"/>
      <c r="J620" s="209">
        <v>32</v>
      </c>
      <c r="K620" s="197">
        <f t="shared" si="5"/>
        <v>6681.6</v>
      </c>
      <c r="L620" s="197">
        <f t="shared" si="6"/>
        <v>2227.2000000000003</v>
      </c>
      <c r="M620" s="199" t="s">
        <v>43</v>
      </c>
      <c r="N620" s="188">
        <v>0</v>
      </c>
      <c r="O620" s="188">
        <v>0</v>
      </c>
      <c r="P620" s="236"/>
      <c r="Q620" s="261"/>
      <c r="R620" s="174"/>
      <c r="S620" s="202">
        <f>14.5*J620*1*(1+0.1+0.9)*0.8</f>
        <v>742.40000000000009</v>
      </c>
    </row>
    <row r="621" spans="1:19" s="181" customFormat="1" ht="30.6" x14ac:dyDescent="0.2">
      <c r="A621" s="240"/>
      <c r="B621" s="236"/>
      <c r="C621" s="236"/>
      <c r="D621" s="236"/>
      <c r="E621" s="236"/>
      <c r="F621" s="236"/>
      <c r="G621" s="236"/>
      <c r="H621" s="208" t="s">
        <v>1062</v>
      </c>
      <c r="I621" s="283"/>
      <c r="J621" s="209">
        <v>17.600000000000001</v>
      </c>
      <c r="K621" s="197">
        <f t="shared" si="5"/>
        <v>3674.8800000000006</v>
      </c>
      <c r="L621" s="197">
        <f t="shared" si="6"/>
        <v>1224.96</v>
      </c>
      <c r="M621" s="199" t="s">
        <v>44</v>
      </c>
      <c r="N621" s="188">
        <v>0</v>
      </c>
      <c r="O621" s="188">
        <v>0</v>
      </c>
      <c r="P621" s="236"/>
      <c r="Q621" s="261"/>
      <c r="R621" s="174"/>
      <c r="S621" s="202">
        <f>14.5*J621*1*(1+0.1+0.9)*0.8</f>
        <v>408.32000000000005</v>
      </c>
    </row>
    <row r="622" spans="1:19" s="181" customFormat="1" ht="30.6" x14ac:dyDescent="0.2">
      <c r="A622" s="240"/>
      <c r="B622" s="236"/>
      <c r="C622" s="236"/>
      <c r="D622" s="236"/>
      <c r="E622" s="236"/>
      <c r="F622" s="236"/>
      <c r="G622" s="236"/>
      <c r="H622" s="208" t="s">
        <v>1063</v>
      </c>
      <c r="I622" s="283"/>
      <c r="J622" s="209">
        <v>64.7</v>
      </c>
      <c r="K622" s="197">
        <f t="shared" si="5"/>
        <v>14860.296000000002</v>
      </c>
      <c r="L622" s="197">
        <f t="shared" si="6"/>
        <v>4953.4320000000007</v>
      </c>
      <c r="M622" s="199" t="s">
        <v>45</v>
      </c>
      <c r="N622" s="188">
        <v>0</v>
      </c>
      <c r="O622" s="188">
        <v>0</v>
      </c>
      <c r="P622" s="236"/>
      <c r="Q622" s="261"/>
      <c r="R622" s="174"/>
      <c r="S622" s="202">
        <f>14.5*J622*1.1*(1+0.1+0.9)*0.8</f>
        <v>1651.1440000000002</v>
      </c>
    </row>
    <row r="623" spans="1:19" s="181" customFormat="1" ht="30.6" x14ac:dyDescent="0.2">
      <c r="A623" s="240"/>
      <c r="B623" s="236"/>
      <c r="C623" s="236"/>
      <c r="D623" s="236"/>
      <c r="E623" s="236"/>
      <c r="F623" s="236"/>
      <c r="G623" s="236"/>
      <c r="H623" s="208" t="s">
        <v>1064</v>
      </c>
      <c r="I623" s="283"/>
      <c r="J623" s="209">
        <v>89.2</v>
      </c>
      <c r="K623" s="197">
        <f t="shared" si="5"/>
        <v>20487.456000000006</v>
      </c>
      <c r="L623" s="197">
        <f t="shared" si="6"/>
        <v>6829.1520000000019</v>
      </c>
      <c r="M623" s="199" t="s">
        <v>46</v>
      </c>
      <c r="N623" s="188">
        <v>0</v>
      </c>
      <c r="O623" s="188">
        <v>0</v>
      </c>
      <c r="P623" s="236"/>
      <c r="Q623" s="261"/>
      <c r="R623" s="174"/>
      <c r="S623" s="202">
        <f>14.5*J623*1.1*(1+0.1+0.9)*0.8</f>
        <v>2276.3840000000005</v>
      </c>
    </row>
    <row r="624" spans="1:19" s="181" customFormat="1" ht="30.6" x14ac:dyDescent="0.2">
      <c r="A624" s="240"/>
      <c r="B624" s="236"/>
      <c r="C624" s="236"/>
      <c r="D624" s="236"/>
      <c r="E624" s="236"/>
      <c r="F624" s="236"/>
      <c r="G624" s="236"/>
      <c r="H624" s="208" t="s">
        <v>1065</v>
      </c>
      <c r="I624" s="283"/>
      <c r="J624" s="209">
        <v>110.6</v>
      </c>
      <c r="K624" s="197">
        <f t="shared" si="5"/>
        <v>25402.608</v>
      </c>
      <c r="L624" s="197">
        <f t="shared" si="6"/>
        <v>8467.5360000000001</v>
      </c>
      <c r="M624" s="199" t="s">
        <v>1245</v>
      </c>
      <c r="N624" s="188">
        <v>1098.33</v>
      </c>
      <c r="O624" s="188">
        <v>1098.33</v>
      </c>
      <c r="P624" s="236"/>
      <c r="Q624" s="261"/>
      <c r="R624" s="174"/>
      <c r="S624" s="202">
        <f>14.5*J624*1.1*(1+0.1+0.9)*0.8</f>
        <v>2822.5120000000002</v>
      </c>
    </row>
    <row r="625" spans="1:19" s="181" customFormat="1" ht="30.6" x14ac:dyDescent="0.3">
      <c r="A625" s="240"/>
      <c r="B625" s="236"/>
      <c r="C625" s="236"/>
      <c r="D625" s="236"/>
      <c r="E625" s="236"/>
      <c r="F625" s="236"/>
      <c r="G625" s="236"/>
      <c r="H625" s="208" t="s">
        <v>1066</v>
      </c>
      <c r="I625" s="283"/>
      <c r="J625" s="209">
        <v>89.3</v>
      </c>
      <c r="K625" s="197">
        <f t="shared" si="5"/>
        <v>20510.424000000003</v>
      </c>
      <c r="L625" s="197">
        <f t="shared" si="6"/>
        <v>6836.8080000000009</v>
      </c>
      <c r="M625" s="430"/>
      <c r="N625" s="205"/>
      <c r="O625" s="205"/>
      <c r="P625" s="236"/>
      <c r="Q625" s="261"/>
      <c r="R625" s="174"/>
      <c r="S625" s="202">
        <f>14.5*J625*1.1*(1+0.1+0.9)*0.8</f>
        <v>2278.9360000000001</v>
      </c>
    </row>
    <row r="626" spans="1:19" s="181" customFormat="1" ht="30.6" x14ac:dyDescent="0.3">
      <c r="A626" s="240"/>
      <c r="B626" s="236"/>
      <c r="C626" s="236"/>
      <c r="D626" s="236"/>
      <c r="E626" s="236"/>
      <c r="F626" s="236"/>
      <c r="G626" s="236"/>
      <c r="H626" s="208" t="s">
        <v>1067</v>
      </c>
      <c r="I626" s="283"/>
      <c r="J626" s="209">
        <v>10</v>
      </c>
      <c r="K626" s="197">
        <f t="shared" si="5"/>
        <v>2505.6000000000004</v>
      </c>
      <c r="L626" s="197">
        <f>S626*3</f>
        <v>835.2</v>
      </c>
      <c r="M626" s="430"/>
      <c r="N626" s="205"/>
      <c r="O626" s="205"/>
      <c r="P626" s="236"/>
      <c r="Q626" s="261"/>
      <c r="R626" s="174"/>
      <c r="S626" s="202">
        <f>14.5*J626*1.2*(1+0.1+0.9)*0.8</f>
        <v>278.40000000000003</v>
      </c>
    </row>
    <row r="627" spans="1:19" s="181" customFormat="1" ht="10.199999999999999" x14ac:dyDescent="0.2">
      <c r="A627" s="237">
        <f>A616+1</f>
        <v>100</v>
      </c>
      <c r="B627" s="259">
        <v>43221</v>
      </c>
      <c r="C627" s="259">
        <v>45047</v>
      </c>
      <c r="D627" s="236" t="s">
        <v>240</v>
      </c>
      <c r="E627" s="236" t="s">
        <v>958</v>
      </c>
      <c r="F627" s="236" t="s">
        <v>957</v>
      </c>
      <c r="G627" s="236" t="s">
        <v>242</v>
      </c>
      <c r="H627" s="236" t="s">
        <v>1068</v>
      </c>
      <c r="I627" s="236" t="s">
        <v>159</v>
      </c>
      <c r="J627" s="236">
        <v>91.9</v>
      </c>
      <c r="K627" s="238">
        <f t="shared" si="5"/>
        <v>21107.592000000004</v>
      </c>
      <c r="L627" s="238">
        <f>S627*3</f>
        <v>7035.8640000000014</v>
      </c>
      <c r="M627" s="199" t="s">
        <v>42</v>
      </c>
      <c r="N627" s="195">
        <v>0</v>
      </c>
      <c r="O627" s="195">
        <v>0</v>
      </c>
      <c r="P627" s="236" t="s">
        <v>242</v>
      </c>
      <c r="Q627" s="244"/>
      <c r="R627" s="174"/>
      <c r="S627" s="245">
        <f>14.5*J627*1.1*(1+0.1+0.9)*0.8</f>
        <v>2345.2880000000005</v>
      </c>
    </row>
    <row r="628" spans="1:19" s="181" customFormat="1" ht="20.399999999999999" x14ac:dyDescent="0.2">
      <c r="A628" s="237"/>
      <c r="B628" s="244"/>
      <c r="C628" s="244"/>
      <c r="D628" s="244"/>
      <c r="E628" s="244"/>
      <c r="F628" s="236"/>
      <c r="G628" s="236"/>
      <c r="H628" s="244"/>
      <c r="I628" s="244"/>
      <c r="J628" s="244"/>
      <c r="K628" s="260"/>
      <c r="L628" s="260"/>
      <c r="M628" s="199" t="s">
        <v>43</v>
      </c>
      <c r="N628" s="236" t="s">
        <v>1182</v>
      </c>
      <c r="O628" s="242"/>
      <c r="P628" s="236"/>
      <c r="Q628" s="244"/>
      <c r="R628" s="174"/>
      <c r="S628" s="249"/>
    </row>
    <row r="629" spans="1:19" s="181" customFormat="1" ht="10.199999999999999" x14ac:dyDescent="0.2">
      <c r="A629" s="237"/>
      <c r="B629" s="244"/>
      <c r="C629" s="244"/>
      <c r="D629" s="244"/>
      <c r="E629" s="244"/>
      <c r="F629" s="236"/>
      <c r="G629" s="236"/>
      <c r="H629" s="244"/>
      <c r="I629" s="244"/>
      <c r="J629" s="244"/>
      <c r="K629" s="260"/>
      <c r="L629" s="260"/>
      <c r="M629" s="199" t="s">
        <v>44</v>
      </c>
      <c r="N629" s="242"/>
      <c r="O629" s="242"/>
      <c r="P629" s="236"/>
      <c r="Q629" s="244"/>
      <c r="R629" s="174"/>
      <c r="S629" s="249"/>
    </row>
    <row r="630" spans="1:19" s="181" customFormat="1" ht="10.199999999999999" x14ac:dyDescent="0.2">
      <c r="A630" s="237"/>
      <c r="B630" s="244"/>
      <c r="C630" s="244"/>
      <c r="D630" s="244"/>
      <c r="E630" s="244"/>
      <c r="F630" s="236"/>
      <c r="G630" s="236"/>
      <c r="H630" s="244"/>
      <c r="I630" s="244"/>
      <c r="J630" s="244"/>
      <c r="K630" s="260"/>
      <c r="L630" s="260"/>
      <c r="M630" s="199" t="s">
        <v>45</v>
      </c>
      <c r="N630" s="242"/>
      <c r="O630" s="242"/>
      <c r="P630" s="236"/>
      <c r="Q630" s="244"/>
      <c r="R630" s="174"/>
      <c r="S630" s="249"/>
    </row>
    <row r="631" spans="1:19" s="181" customFormat="1" ht="10.199999999999999" x14ac:dyDescent="0.2">
      <c r="A631" s="237"/>
      <c r="B631" s="244"/>
      <c r="C631" s="244"/>
      <c r="D631" s="244"/>
      <c r="E631" s="244"/>
      <c r="F631" s="236"/>
      <c r="G631" s="236"/>
      <c r="H631" s="244"/>
      <c r="I631" s="244"/>
      <c r="J631" s="244"/>
      <c r="K631" s="260"/>
      <c r="L631" s="260"/>
      <c r="M631" s="199" t="s">
        <v>46</v>
      </c>
      <c r="N631" s="242"/>
      <c r="O631" s="242"/>
      <c r="P631" s="236"/>
      <c r="Q631" s="244"/>
      <c r="R631" s="174"/>
      <c r="S631" s="249"/>
    </row>
    <row r="632" spans="1:19" s="181" customFormat="1" ht="10.199999999999999" x14ac:dyDescent="0.2">
      <c r="A632" s="237"/>
      <c r="B632" s="244"/>
      <c r="C632" s="244"/>
      <c r="D632" s="244"/>
      <c r="E632" s="244"/>
      <c r="F632" s="236"/>
      <c r="G632" s="236"/>
      <c r="H632" s="244"/>
      <c r="I632" s="244"/>
      <c r="J632" s="244"/>
      <c r="K632" s="260"/>
      <c r="L632" s="260"/>
      <c r="M632" s="182" t="s">
        <v>1245</v>
      </c>
      <c r="N632" s="187">
        <v>157.16</v>
      </c>
      <c r="O632" s="187">
        <v>157.16</v>
      </c>
      <c r="P632" s="236"/>
      <c r="Q632" s="244"/>
      <c r="R632" s="174"/>
      <c r="S632" s="249"/>
    </row>
    <row r="633" spans="1:19" s="181" customFormat="1" ht="10.199999999999999" x14ac:dyDescent="0.2">
      <c r="A633" s="237">
        <f>A627+1</f>
        <v>101</v>
      </c>
      <c r="B633" s="259">
        <v>42858</v>
      </c>
      <c r="C633" s="259">
        <v>44683</v>
      </c>
      <c r="D633" s="236" t="s">
        <v>268</v>
      </c>
      <c r="E633" s="236" t="s">
        <v>958</v>
      </c>
      <c r="F633" s="236" t="s">
        <v>957</v>
      </c>
      <c r="G633" s="236" t="s">
        <v>270</v>
      </c>
      <c r="H633" s="236" t="s">
        <v>1069</v>
      </c>
      <c r="I633" s="236" t="s">
        <v>116</v>
      </c>
      <c r="J633" s="236">
        <v>260.5</v>
      </c>
      <c r="K633" s="238">
        <f>S633*9</f>
        <v>151754.79599999997</v>
      </c>
      <c r="L633" s="238">
        <f>S633*3</f>
        <v>50584.931999999986</v>
      </c>
      <c r="M633" s="199" t="s">
        <v>42</v>
      </c>
      <c r="N633" s="236" t="s">
        <v>1142</v>
      </c>
      <c r="O633" s="242"/>
      <c r="P633" s="236" t="s">
        <v>270</v>
      </c>
      <c r="Q633" s="244"/>
      <c r="R633" s="174"/>
      <c r="S633" s="245">
        <f>14.5*J633*1.2*(1+1.2+0.9)*1.2</f>
        <v>16861.643999999997</v>
      </c>
    </row>
    <row r="634" spans="1:19" s="181" customFormat="1" ht="20.399999999999999" x14ac:dyDescent="0.2">
      <c r="A634" s="237"/>
      <c r="B634" s="244"/>
      <c r="C634" s="244"/>
      <c r="D634" s="244"/>
      <c r="E634" s="244"/>
      <c r="F634" s="236"/>
      <c r="G634" s="244"/>
      <c r="H634" s="244"/>
      <c r="I634" s="244"/>
      <c r="J634" s="244"/>
      <c r="K634" s="260"/>
      <c r="L634" s="260"/>
      <c r="M634" s="199" t="s">
        <v>43</v>
      </c>
      <c r="N634" s="242"/>
      <c r="O634" s="242"/>
      <c r="P634" s="244"/>
      <c r="Q634" s="244"/>
      <c r="R634" s="174"/>
      <c r="S634" s="249"/>
    </row>
    <row r="635" spans="1:19" s="181" customFormat="1" ht="10.199999999999999" x14ac:dyDescent="0.2">
      <c r="A635" s="237"/>
      <c r="B635" s="244"/>
      <c r="C635" s="244"/>
      <c r="D635" s="244"/>
      <c r="E635" s="244"/>
      <c r="F635" s="236"/>
      <c r="G635" s="244"/>
      <c r="H635" s="244"/>
      <c r="I635" s="244"/>
      <c r="J635" s="244"/>
      <c r="K635" s="260"/>
      <c r="L635" s="260"/>
      <c r="M635" s="199" t="s">
        <v>44</v>
      </c>
      <c r="N635" s="242"/>
      <c r="O635" s="242"/>
      <c r="P635" s="244"/>
      <c r="Q635" s="244"/>
      <c r="R635" s="174"/>
      <c r="S635" s="249"/>
    </row>
    <row r="636" spans="1:19" s="181" customFormat="1" ht="10.199999999999999" x14ac:dyDescent="0.2">
      <c r="A636" s="237"/>
      <c r="B636" s="244"/>
      <c r="C636" s="244"/>
      <c r="D636" s="244"/>
      <c r="E636" s="244"/>
      <c r="F636" s="236"/>
      <c r="G636" s="244"/>
      <c r="H636" s="244"/>
      <c r="I636" s="244"/>
      <c r="J636" s="244"/>
      <c r="K636" s="260"/>
      <c r="L636" s="260"/>
      <c r="M636" s="199" t="s">
        <v>45</v>
      </c>
      <c r="N636" s="242"/>
      <c r="O636" s="242"/>
      <c r="P636" s="244"/>
      <c r="Q636" s="244"/>
      <c r="R636" s="174"/>
      <c r="S636" s="249"/>
    </row>
    <row r="637" spans="1:19" s="181" customFormat="1" ht="10.199999999999999" x14ac:dyDescent="0.2">
      <c r="A637" s="237"/>
      <c r="B637" s="244"/>
      <c r="C637" s="244"/>
      <c r="D637" s="244"/>
      <c r="E637" s="244"/>
      <c r="F637" s="236"/>
      <c r="G637" s="244"/>
      <c r="H637" s="244"/>
      <c r="I637" s="244"/>
      <c r="J637" s="244"/>
      <c r="K637" s="260"/>
      <c r="L637" s="260"/>
      <c r="M637" s="199" t="s">
        <v>46</v>
      </c>
      <c r="N637" s="242"/>
      <c r="O637" s="242"/>
      <c r="P637" s="244"/>
      <c r="Q637" s="244"/>
      <c r="R637" s="174"/>
      <c r="S637" s="249"/>
    </row>
    <row r="638" spans="1:19" s="181" customFormat="1" ht="10.199999999999999" x14ac:dyDescent="0.2">
      <c r="A638" s="237"/>
      <c r="B638" s="244"/>
      <c r="C638" s="244"/>
      <c r="D638" s="244"/>
      <c r="E638" s="244"/>
      <c r="F638" s="236"/>
      <c r="G638" s="244"/>
      <c r="H638" s="244"/>
      <c r="I638" s="244"/>
      <c r="J638" s="244"/>
      <c r="K638" s="260"/>
      <c r="L638" s="260"/>
      <c r="M638" s="182" t="s">
        <v>1245</v>
      </c>
      <c r="N638" s="186">
        <v>2487.65</v>
      </c>
      <c r="O638" s="186">
        <v>323.35000000000002</v>
      </c>
      <c r="P638" s="244"/>
      <c r="Q638" s="244"/>
      <c r="R638" s="174"/>
      <c r="S638" s="249"/>
    </row>
    <row r="639" spans="1:19" s="181" customFormat="1" ht="10.199999999999999" x14ac:dyDescent="0.2">
      <c r="A639" s="237">
        <f>A633+1</f>
        <v>102</v>
      </c>
      <c r="B639" s="270">
        <v>44698</v>
      </c>
      <c r="C639" s="259">
        <v>46523</v>
      </c>
      <c r="D639" s="236" t="s">
        <v>1186</v>
      </c>
      <c r="E639" s="236" t="s">
        <v>958</v>
      </c>
      <c r="F639" s="236" t="s">
        <v>957</v>
      </c>
      <c r="G639" s="266" t="s">
        <v>294</v>
      </c>
      <c r="H639" s="236" t="s">
        <v>1187</v>
      </c>
      <c r="I639" s="236" t="s">
        <v>297</v>
      </c>
      <c r="J639" s="236">
        <v>180</v>
      </c>
      <c r="K639" s="238">
        <f>S639*9</f>
        <v>21141</v>
      </c>
      <c r="L639" s="238">
        <f>S639*3</f>
        <v>7047</v>
      </c>
      <c r="M639" s="199" t="s">
        <v>42</v>
      </c>
      <c r="N639" s="236" t="s">
        <v>1142</v>
      </c>
      <c r="O639" s="242"/>
      <c r="P639" s="266" t="s">
        <v>294</v>
      </c>
      <c r="Q639" s="431"/>
      <c r="R639" s="174"/>
      <c r="S639" s="245">
        <f>(14.5*J639*1.2*(1+1.2+0.3)*0.3)</f>
        <v>2349</v>
      </c>
    </row>
    <row r="640" spans="1:19" s="181" customFormat="1" ht="20.399999999999999" x14ac:dyDescent="0.2">
      <c r="A640" s="237"/>
      <c r="B640" s="244"/>
      <c r="C640" s="244"/>
      <c r="D640" s="244"/>
      <c r="E640" s="244"/>
      <c r="F640" s="236"/>
      <c r="G640" s="244"/>
      <c r="H640" s="244"/>
      <c r="I640" s="244"/>
      <c r="J640" s="244"/>
      <c r="K640" s="260"/>
      <c r="L640" s="260"/>
      <c r="M640" s="199" t="s">
        <v>43</v>
      </c>
      <c r="N640" s="242"/>
      <c r="O640" s="242"/>
      <c r="P640" s="244"/>
      <c r="Q640" s="431"/>
      <c r="R640" s="174"/>
      <c r="S640" s="249"/>
    </row>
    <row r="641" spans="1:19" s="181" customFormat="1" ht="10.199999999999999" x14ac:dyDescent="0.2">
      <c r="A641" s="237"/>
      <c r="B641" s="244"/>
      <c r="C641" s="244"/>
      <c r="D641" s="244"/>
      <c r="E641" s="244"/>
      <c r="F641" s="236"/>
      <c r="G641" s="244"/>
      <c r="H641" s="244"/>
      <c r="I641" s="244"/>
      <c r="J641" s="244"/>
      <c r="K641" s="260"/>
      <c r="L641" s="260"/>
      <c r="M641" s="199" t="s">
        <v>44</v>
      </c>
      <c r="N641" s="242"/>
      <c r="O641" s="242"/>
      <c r="P641" s="244"/>
      <c r="Q641" s="431"/>
      <c r="R641" s="174"/>
      <c r="S641" s="249"/>
    </row>
    <row r="642" spans="1:19" s="181" customFormat="1" ht="10.199999999999999" x14ac:dyDescent="0.2">
      <c r="A642" s="237"/>
      <c r="B642" s="244"/>
      <c r="C642" s="244"/>
      <c r="D642" s="244"/>
      <c r="E642" s="244"/>
      <c r="F642" s="236"/>
      <c r="G642" s="244"/>
      <c r="H642" s="244"/>
      <c r="I642" s="244"/>
      <c r="J642" s="244"/>
      <c r="K642" s="260"/>
      <c r="L642" s="260"/>
      <c r="M642" s="199" t="s">
        <v>45</v>
      </c>
      <c r="N642" s="242"/>
      <c r="O642" s="242"/>
      <c r="P642" s="244"/>
      <c r="Q642" s="431"/>
      <c r="R642" s="174"/>
      <c r="S642" s="249"/>
    </row>
    <row r="643" spans="1:19" s="181" customFormat="1" ht="10.199999999999999" x14ac:dyDescent="0.2">
      <c r="A643" s="237"/>
      <c r="B643" s="244"/>
      <c r="C643" s="244"/>
      <c r="D643" s="244"/>
      <c r="E643" s="244"/>
      <c r="F643" s="236"/>
      <c r="G643" s="244"/>
      <c r="H643" s="244"/>
      <c r="I643" s="244"/>
      <c r="J643" s="244"/>
      <c r="K643" s="260"/>
      <c r="L643" s="260"/>
      <c r="M643" s="199" t="s">
        <v>46</v>
      </c>
      <c r="N643" s="242"/>
      <c r="O643" s="242"/>
      <c r="P643" s="244"/>
      <c r="Q643" s="431"/>
      <c r="R643" s="174"/>
      <c r="S643" s="249"/>
    </row>
    <row r="644" spans="1:19" s="181" customFormat="1" x14ac:dyDescent="0.2">
      <c r="A644" s="237"/>
      <c r="B644" s="244"/>
      <c r="C644" s="244"/>
      <c r="D644" s="244"/>
      <c r="E644" s="244"/>
      <c r="F644" s="236"/>
      <c r="G644" s="244"/>
      <c r="H644" s="244"/>
      <c r="I644" s="244"/>
      <c r="J644" s="244"/>
      <c r="K644" s="260"/>
      <c r="L644" s="260"/>
      <c r="M644" s="182" t="s">
        <v>1245</v>
      </c>
      <c r="N644" s="236" t="s">
        <v>1177</v>
      </c>
      <c r="O644" s="242"/>
      <c r="P644" s="244"/>
      <c r="Q644" s="431"/>
      <c r="R644" s="174"/>
      <c r="S644" s="249"/>
    </row>
    <row r="645" spans="1:19" s="181" customFormat="1" ht="10.199999999999999" x14ac:dyDescent="0.2">
      <c r="A645" s="237">
        <f>A639+1</f>
        <v>103</v>
      </c>
      <c r="B645" s="259">
        <v>44699</v>
      </c>
      <c r="C645" s="270">
        <v>46524</v>
      </c>
      <c r="D645" s="236" t="s">
        <v>1180</v>
      </c>
      <c r="E645" s="236" t="s">
        <v>958</v>
      </c>
      <c r="F645" s="236" t="s">
        <v>957</v>
      </c>
      <c r="G645" s="236" t="s">
        <v>194</v>
      </c>
      <c r="H645" s="236" t="s">
        <v>1070</v>
      </c>
      <c r="I645" s="236" t="s">
        <v>302</v>
      </c>
      <c r="J645" s="236">
        <v>69.400000000000006</v>
      </c>
      <c r="K645" s="238">
        <f>S645*9</f>
        <v>14490.720000000001</v>
      </c>
      <c r="L645" s="238">
        <f>S645*3</f>
        <v>4830.2400000000007</v>
      </c>
      <c r="M645" s="199" t="s">
        <v>42</v>
      </c>
      <c r="N645" s="236" t="s">
        <v>1142</v>
      </c>
      <c r="O645" s="242"/>
      <c r="P645" s="236" t="s">
        <v>194</v>
      </c>
      <c r="Q645" s="244"/>
      <c r="R645" s="174"/>
      <c r="S645" s="245">
        <f>14.5*J645*1*(1+0.1+0.9)*0.8</f>
        <v>1610.0800000000002</v>
      </c>
    </row>
    <row r="646" spans="1:19" s="181" customFormat="1" ht="20.399999999999999" x14ac:dyDescent="0.2">
      <c r="A646" s="237"/>
      <c r="B646" s="244"/>
      <c r="C646" s="244"/>
      <c r="D646" s="244"/>
      <c r="E646" s="244"/>
      <c r="F646" s="236"/>
      <c r="G646" s="244"/>
      <c r="H646" s="244"/>
      <c r="I646" s="244"/>
      <c r="J646" s="244"/>
      <c r="K646" s="260"/>
      <c r="L646" s="260"/>
      <c r="M646" s="199" t="s">
        <v>43</v>
      </c>
      <c r="N646" s="242"/>
      <c r="O646" s="242"/>
      <c r="P646" s="244"/>
      <c r="Q646" s="244"/>
      <c r="R646" s="174"/>
      <c r="S646" s="249"/>
    </row>
    <row r="647" spans="1:19" s="181" customFormat="1" ht="10.199999999999999" x14ac:dyDescent="0.2">
      <c r="A647" s="237"/>
      <c r="B647" s="244"/>
      <c r="C647" s="244"/>
      <c r="D647" s="244"/>
      <c r="E647" s="244"/>
      <c r="F647" s="236"/>
      <c r="G647" s="244"/>
      <c r="H647" s="244"/>
      <c r="I647" s="244"/>
      <c r="J647" s="244"/>
      <c r="K647" s="260"/>
      <c r="L647" s="260"/>
      <c r="M647" s="199" t="s">
        <v>44</v>
      </c>
      <c r="N647" s="242"/>
      <c r="O647" s="242"/>
      <c r="P647" s="244"/>
      <c r="Q647" s="244"/>
      <c r="R647" s="174"/>
      <c r="S647" s="249"/>
    </row>
    <row r="648" spans="1:19" s="181" customFormat="1" ht="10.199999999999999" x14ac:dyDescent="0.2">
      <c r="A648" s="237"/>
      <c r="B648" s="244"/>
      <c r="C648" s="244"/>
      <c r="D648" s="244"/>
      <c r="E648" s="244"/>
      <c r="F648" s="236"/>
      <c r="G648" s="244"/>
      <c r="H648" s="244"/>
      <c r="I648" s="244"/>
      <c r="J648" s="244"/>
      <c r="K648" s="260"/>
      <c r="L648" s="260"/>
      <c r="M648" s="199" t="s">
        <v>45</v>
      </c>
      <c r="N648" s="242"/>
      <c r="O648" s="242"/>
      <c r="P648" s="244"/>
      <c r="Q648" s="244"/>
      <c r="R648" s="174"/>
      <c r="S648" s="249"/>
    </row>
    <row r="649" spans="1:19" s="181" customFormat="1" ht="10.199999999999999" x14ac:dyDescent="0.2">
      <c r="A649" s="237"/>
      <c r="B649" s="244"/>
      <c r="C649" s="244"/>
      <c r="D649" s="244"/>
      <c r="E649" s="244"/>
      <c r="F649" s="236"/>
      <c r="G649" s="244"/>
      <c r="H649" s="244"/>
      <c r="I649" s="244"/>
      <c r="J649" s="244"/>
      <c r="K649" s="260"/>
      <c r="L649" s="260"/>
      <c r="M649" s="199" t="s">
        <v>46</v>
      </c>
      <c r="N649" s="242"/>
      <c r="O649" s="242"/>
      <c r="P649" s="244"/>
      <c r="Q649" s="244"/>
      <c r="R649" s="174"/>
      <c r="S649" s="249"/>
    </row>
    <row r="650" spans="1:19" s="181" customFormat="1" ht="10.199999999999999" x14ac:dyDescent="0.2">
      <c r="A650" s="237"/>
      <c r="B650" s="244"/>
      <c r="C650" s="244"/>
      <c r="D650" s="244"/>
      <c r="E650" s="244"/>
      <c r="F650" s="236"/>
      <c r="G650" s="244"/>
      <c r="H650" s="244"/>
      <c r="I650" s="244"/>
      <c r="J650" s="244"/>
      <c r="K650" s="260"/>
      <c r="L650" s="260"/>
      <c r="M650" s="182" t="s">
        <v>1245</v>
      </c>
      <c r="N650" s="198">
        <v>84.67</v>
      </c>
      <c r="O650" s="194">
        <v>84.67</v>
      </c>
      <c r="P650" s="244"/>
      <c r="Q650" s="244"/>
      <c r="R650" s="174"/>
      <c r="S650" s="249"/>
    </row>
    <row r="651" spans="1:19" s="181" customFormat="1" ht="10.199999999999999" x14ac:dyDescent="0.2">
      <c r="A651" s="237">
        <f>A645+1</f>
        <v>104</v>
      </c>
      <c r="B651" s="259">
        <v>43901</v>
      </c>
      <c r="C651" s="259">
        <v>44928</v>
      </c>
      <c r="D651" s="236" t="s">
        <v>361</v>
      </c>
      <c r="E651" s="236" t="s">
        <v>958</v>
      </c>
      <c r="F651" s="236" t="s">
        <v>957</v>
      </c>
      <c r="G651" s="236" t="s">
        <v>362</v>
      </c>
      <c r="H651" s="236" t="s">
        <v>1071</v>
      </c>
      <c r="I651" s="236" t="s">
        <v>365</v>
      </c>
      <c r="J651" s="236">
        <v>150.63999999999999</v>
      </c>
      <c r="K651" s="238">
        <f>(S651+S653)*9</f>
        <v>21827.158560000003</v>
      </c>
      <c r="L651" s="238">
        <f>(S651+S653)*3</f>
        <v>7275.7195200000006</v>
      </c>
      <c r="M651" s="199" t="s">
        <v>42</v>
      </c>
      <c r="N651" s="236" t="s">
        <v>1142</v>
      </c>
      <c r="O651" s="242"/>
      <c r="P651" s="236" t="s">
        <v>362</v>
      </c>
      <c r="Q651" s="244"/>
      <c r="R651" s="174"/>
      <c r="S651" s="245">
        <f>14.5*J651*1.1*(1+0.5+0.9)*0.2</f>
        <v>1153.2998400000001</v>
      </c>
    </row>
    <row r="652" spans="1:19" s="181" customFormat="1" ht="20.399999999999999" x14ac:dyDescent="0.2">
      <c r="A652" s="237"/>
      <c r="B652" s="259"/>
      <c r="C652" s="236"/>
      <c r="D652" s="236"/>
      <c r="E652" s="236"/>
      <c r="F652" s="236"/>
      <c r="G652" s="236"/>
      <c r="H652" s="260"/>
      <c r="I652" s="236"/>
      <c r="J652" s="236"/>
      <c r="K652" s="238"/>
      <c r="L652" s="238"/>
      <c r="M652" s="199" t="s">
        <v>43</v>
      </c>
      <c r="N652" s="242"/>
      <c r="O652" s="242"/>
      <c r="P652" s="236"/>
      <c r="Q652" s="244"/>
      <c r="R652" s="174"/>
      <c r="S652" s="252"/>
    </row>
    <row r="653" spans="1:19" s="181" customFormat="1" ht="10.199999999999999" x14ac:dyDescent="0.2">
      <c r="A653" s="237"/>
      <c r="B653" s="244"/>
      <c r="C653" s="244"/>
      <c r="D653" s="244"/>
      <c r="E653" s="244"/>
      <c r="F653" s="236"/>
      <c r="G653" s="244"/>
      <c r="H653" s="236" t="s">
        <v>1072</v>
      </c>
      <c r="I653" s="244"/>
      <c r="J653" s="236">
        <v>219.3</v>
      </c>
      <c r="K653" s="238"/>
      <c r="L653" s="238"/>
      <c r="M653" s="199" t="s">
        <v>44</v>
      </c>
      <c r="N653" s="242"/>
      <c r="O653" s="242"/>
      <c r="P653" s="244"/>
      <c r="Q653" s="244"/>
      <c r="R653" s="174"/>
      <c r="S653" s="245">
        <f>14.5*J653*1*(1+0.1+0.9)*0.2</f>
        <v>1271.9400000000003</v>
      </c>
    </row>
    <row r="654" spans="1:19" s="181" customFormat="1" ht="10.199999999999999" x14ac:dyDescent="0.2">
      <c r="A654" s="237"/>
      <c r="B654" s="244"/>
      <c r="C654" s="244"/>
      <c r="D654" s="244"/>
      <c r="E654" s="244"/>
      <c r="F654" s="236"/>
      <c r="G654" s="244"/>
      <c r="H654" s="244"/>
      <c r="I654" s="244"/>
      <c r="J654" s="244"/>
      <c r="K654" s="238"/>
      <c r="L654" s="238"/>
      <c r="M654" s="199" t="s">
        <v>45</v>
      </c>
      <c r="N654" s="242"/>
      <c r="O654" s="242"/>
      <c r="P654" s="244"/>
      <c r="Q654" s="244"/>
      <c r="R654" s="174"/>
      <c r="S654" s="249"/>
    </row>
    <row r="655" spans="1:19" s="181" customFormat="1" ht="10.199999999999999" x14ac:dyDescent="0.2">
      <c r="A655" s="237"/>
      <c r="B655" s="244"/>
      <c r="C655" s="244"/>
      <c r="D655" s="244"/>
      <c r="E655" s="244"/>
      <c r="F655" s="236"/>
      <c r="G655" s="244"/>
      <c r="H655" s="244"/>
      <c r="I655" s="244"/>
      <c r="J655" s="244"/>
      <c r="K655" s="238"/>
      <c r="L655" s="238"/>
      <c r="M655" s="199" t="s">
        <v>46</v>
      </c>
      <c r="N655" s="242"/>
      <c r="O655" s="242"/>
      <c r="P655" s="244"/>
      <c r="Q655" s="244"/>
      <c r="R655" s="174"/>
      <c r="S655" s="249"/>
    </row>
    <row r="656" spans="1:19" s="181" customFormat="1" ht="10.199999999999999" x14ac:dyDescent="0.2">
      <c r="A656" s="237"/>
      <c r="B656" s="244"/>
      <c r="C656" s="244"/>
      <c r="D656" s="244"/>
      <c r="E656" s="244"/>
      <c r="F656" s="236"/>
      <c r="G656" s="244"/>
      <c r="H656" s="244"/>
      <c r="I656" s="244"/>
      <c r="J656" s="244"/>
      <c r="K656" s="238"/>
      <c r="L656" s="238"/>
      <c r="M656" s="182" t="s">
        <v>1245</v>
      </c>
      <c r="N656" s="186">
        <v>4872.7</v>
      </c>
      <c r="O656" s="186">
        <v>662.02</v>
      </c>
      <c r="P656" s="244"/>
      <c r="Q656" s="244"/>
      <c r="R656" s="174"/>
      <c r="S656" s="249"/>
    </row>
    <row r="657" spans="1:19" s="181" customFormat="1" ht="10.199999999999999" x14ac:dyDescent="0.2">
      <c r="A657" s="237">
        <f>A651+1</f>
        <v>105</v>
      </c>
      <c r="B657" s="259">
        <v>43901</v>
      </c>
      <c r="C657" s="259">
        <v>44928</v>
      </c>
      <c r="D657" s="236" t="s">
        <v>369</v>
      </c>
      <c r="E657" s="236" t="s">
        <v>958</v>
      </c>
      <c r="F657" s="236" t="s">
        <v>957</v>
      </c>
      <c r="G657" s="236" t="s">
        <v>370</v>
      </c>
      <c r="H657" s="236" t="s">
        <v>1073</v>
      </c>
      <c r="I657" s="236" t="s">
        <v>373</v>
      </c>
      <c r="J657" s="236">
        <v>115.7</v>
      </c>
      <c r="K657" s="238">
        <f>S657*9</f>
        <v>7307.8434000000025</v>
      </c>
      <c r="L657" s="238">
        <f>S657*3</f>
        <v>2435.9478000000008</v>
      </c>
      <c r="M657" s="199" t="s">
        <v>42</v>
      </c>
      <c r="N657" s="236" t="s">
        <v>1142</v>
      </c>
      <c r="O657" s="242"/>
      <c r="P657" s="236" t="s">
        <v>370</v>
      </c>
      <c r="Q657" s="244"/>
      <c r="R657" s="174"/>
      <c r="S657" s="245">
        <f>14.5*J657*1.1*(1+0.1+1.1)*0.2</f>
        <v>811.98260000000028</v>
      </c>
    </row>
    <row r="658" spans="1:19" s="181" customFormat="1" ht="20.399999999999999" x14ac:dyDescent="0.2">
      <c r="A658" s="237"/>
      <c r="B658" s="244"/>
      <c r="C658" s="236"/>
      <c r="D658" s="244"/>
      <c r="E658" s="236"/>
      <c r="F658" s="236"/>
      <c r="G658" s="244"/>
      <c r="H658" s="244"/>
      <c r="I658" s="244"/>
      <c r="J658" s="244"/>
      <c r="K658" s="238"/>
      <c r="L658" s="238"/>
      <c r="M658" s="199" t="s">
        <v>43</v>
      </c>
      <c r="N658" s="242"/>
      <c r="O658" s="242"/>
      <c r="P658" s="244"/>
      <c r="Q658" s="244"/>
      <c r="R658" s="174"/>
      <c r="S658" s="249"/>
    </row>
    <row r="659" spans="1:19" s="181" customFormat="1" ht="10.199999999999999" x14ac:dyDescent="0.2">
      <c r="A659" s="237"/>
      <c r="B659" s="244"/>
      <c r="C659" s="236"/>
      <c r="D659" s="244"/>
      <c r="E659" s="244"/>
      <c r="F659" s="236"/>
      <c r="G659" s="244"/>
      <c r="H659" s="244"/>
      <c r="I659" s="244"/>
      <c r="J659" s="244"/>
      <c r="K659" s="238"/>
      <c r="L659" s="238"/>
      <c r="M659" s="199" t="s">
        <v>44</v>
      </c>
      <c r="N659" s="242"/>
      <c r="O659" s="242"/>
      <c r="P659" s="244"/>
      <c r="Q659" s="244"/>
      <c r="R659" s="174"/>
      <c r="S659" s="249"/>
    </row>
    <row r="660" spans="1:19" s="181" customFormat="1" ht="10.199999999999999" x14ac:dyDescent="0.2">
      <c r="A660" s="237"/>
      <c r="B660" s="244"/>
      <c r="C660" s="236"/>
      <c r="D660" s="244"/>
      <c r="E660" s="244"/>
      <c r="F660" s="236"/>
      <c r="G660" s="244"/>
      <c r="H660" s="244"/>
      <c r="I660" s="244"/>
      <c r="J660" s="244"/>
      <c r="K660" s="238"/>
      <c r="L660" s="238"/>
      <c r="M660" s="199" t="s">
        <v>45</v>
      </c>
      <c r="N660" s="242"/>
      <c r="O660" s="242"/>
      <c r="P660" s="244"/>
      <c r="Q660" s="244"/>
      <c r="R660" s="174"/>
      <c r="S660" s="249"/>
    </row>
    <row r="661" spans="1:19" s="181" customFormat="1" ht="10.199999999999999" x14ac:dyDescent="0.2">
      <c r="A661" s="237"/>
      <c r="B661" s="244"/>
      <c r="C661" s="236"/>
      <c r="D661" s="244"/>
      <c r="E661" s="244"/>
      <c r="F661" s="236"/>
      <c r="G661" s="244"/>
      <c r="H661" s="244"/>
      <c r="I661" s="244"/>
      <c r="J661" s="244"/>
      <c r="K661" s="238"/>
      <c r="L661" s="238"/>
      <c r="M661" s="199" t="s">
        <v>46</v>
      </c>
      <c r="N661" s="242"/>
      <c r="O661" s="242"/>
      <c r="P661" s="244"/>
      <c r="Q661" s="244"/>
      <c r="R661" s="174"/>
      <c r="S661" s="249"/>
    </row>
    <row r="662" spans="1:19" s="181" customFormat="1" ht="10.199999999999999" x14ac:dyDescent="0.2">
      <c r="A662" s="237"/>
      <c r="B662" s="244"/>
      <c r="C662" s="236"/>
      <c r="D662" s="244"/>
      <c r="E662" s="244"/>
      <c r="F662" s="236"/>
      <c r="G662" s="244"/>
      <c r="H662" s="244"/>
      <c r="I662" s="244"/>
      <c r="J662" s="244"/>
      <c r="K662" s="238"/>
      <c r="L662" s="238"/>
      <c r="M662" s="182" t="s">
        <v>1245</v>
      </c>
      <c r="N662" s="186">
        <v>1023.45</v>
      </c>
      <c r="O662" s="186">
        <v>203.05</v>
      </c>
      <c r="P662" s="244"/>
      <c r="Q662" s="244"/>
      <c r="R662" s="174"/>
      <c r="S662" s="249"/>
    </row>
    <row r="663" spans="1:19" s="181" customFormat="1" ht="10.199999999999999" x14ac:dyDescent="0.2">
      <c r="A663" s="237">
        <f>A657+1</f>
        <v>106</v>
      </c>
      <c r="B663" s="243">
        <v>44258</v>
      </c>
      <c r="C663" s="243">
        <v>45323</v>
      </c>
      <c r="D663" s="247" t="s">
        <v>472</v>
      </c>
      <c r="E663" s="236" t="s">
        <v>958</v>
      </c>
      <c r="F663" s="236" t="s">
        <v>957</v>
      </c>
      <c r="G663" s="247" t="s">
        <v>1137</v>
      </c>
      <c r="H663" s="247" t="s">
        <v>1074</v>
      </c>
      <c r="I663" s="247" t="s">
        <v>477</v>
      </c>
      <c r="J663" s="248">
        <v>20.100000000000001</v>
      </c>
      <c r="K663" s="238">
        <f>S663*9</f>
        <v>6085.4760000000024</v>
      </c>
      <c r="L663" s="238">
        <f>S663*3</f>
        <v>2028.4920000000006</v>
      </c>
      <c r="M663" s="199" t="s">
        <v>42</v>
      </c>
      <c r="N663" s="236" t="s">
        <v>1142</v>
      </c>
      <c r="O663" s="242"/>
      <c r="P663" s="247" t="s">
        <v>1137</v>
      </c>
      <c r="Q663" s="244"/>
      <c r="R663" s="174"/>
      <c r="S663" s="245">
        <f>14.5*J663*1*(1+1.2+0.7)*0.8</f>
        <v>676.16400000000021</v>
      </c>
    </row>
    <row r="664" spans="1:19" s="181" customFormat="1" ht="20.399999999999999" x14ac:dyDescent="0.2">
      <c r="A664" s="237"/>
      <c r="B664" s="244"/>
      <c r="C664" s="244"/>
      <c r="D664" s="244"/>
      <c r="E664" s="236"/>
      <c r="F664" s="236"/>
      <c r="G664" s="236"/>
      <c r="H664" s="244"/>
      <c r="I664" s="244"/>
      <c r="J664" s="244"/>
      <c r="K664" s="238"/>
      <c r="L664" s="238"/>
      <c r="M664" s="199" t="s">
        <v>43</v>
      </c>
      <c r="N664" s="242"/>
      <c r="O664" s="242"/>
      <c r="P664" s="236"/>
      <c r="Q664" s="244"/>
      <c r="R664" s="174"/>
      <c r="S664" s="249"/>
    </row>
    <row r="665" spans="1:19" s="181" customFormat="1" ht="10.199999999999999" x14ac:dyDescent="0.2">
      <c r="A665" s="237"/>
      <c r="B665" s="244"/>
      <c r="C665" s="244"/>
      <c r="D665" s="244"/>
      <c r="E665" s="244"/>
      <c r="F665" s="236"/>
      <c r="G665" s="236"/>
      <c r="H665" s="244"/>
      <c r="I665" s="244"/>
      <c r="J665" s="244"/>
      <c r="K665" s="238"/>
      <c r="L665" s="238"/>
      <c r="M665" s="199" t="s">
        <v>44</v>
      </c>
      <c r="N665" s="242"/>
      <c r="O665" s="242"/>
      <c r="P665" s="236"/>
      <c r="Q665" s="244"/>
      <c r="R665" s="174"/>
      <c r="S665" s="249"/>
    </row>
    <row r="666" spans="1:19" s="181" customFormat="1" ht="10.199999999999999" x14ac:dyDescent="0.2">
      <c r="A666" s="237"/>
      <c r="B666" s="244"/>
      <c r="C666" s="244"/>
      <c r="D666" s="244"/>
      <c r="E666" s="244"/>
      <c r="F666" s="236"/>
      <c r="G666" s="236"/>
      <c r="H666" s="244"/>
      <c r="I666" s="244"/>
      <c r="J666" s="244"/>
      <c r="K666" s="238"/>
      <c r="L666" s="238"/>
      <c r="M666" s="199" t="s">
        <v>45</v>
      </c>
      <c r="N666" s="242"/>
      <c r="O666" s="242"/>
      <c r="P666" s="236"/>
      <c r="Q666" s="244"/>
      <c r="R666" s="174"/>
      <c r="S666" s="249"/>
    </row>
    <row r="667" spans="1:19" s="181" customFormat="1" ht="10.199999999999999" x14ac:dyDescent="0.2">
      <c r="A667" s="237"/>
      <c r="B667" s="244"/>
      <c r="C667" s="244"/>
      <c r="D667" s="244"/>
      <c r="E667" s="244"/>
      <c r="F667" s="236"/>
      <c r="G667" s="236"/>
      <c r="H667" s="244"/>
      <c r="I667" s="244"/>
      <c r="J667" s="244"/>
      <c r="K667" s="238"/>
      <c r="L667" s="238"/>
      <c r="M667" s="199" t="s">
        <v>46</v>
      </c>
      <c r="N667" s="242"/>
      <c r="O667" s="242"/>
      <c r="P667" s="236"/>
      <c r="Q667" s="244"/>
      <c r="R667" s="174"/>
      <c r="S667" s="249"/>
    </row>
    <row r="668" spans="1:19" s="181" customFormat="1" ht="10.199999999999999" x14ac:dyDescent="0.2">
      <c r="A668" s="237"/>
      <c r="B668" s="244"/>
      <c r="C668" s="244"/>
      <c r="D668" s="244"/>
      <c r="E668" s="244"/>
      <c r="F668" s="236"/>
      <c r="G668" s="236"/>
      <c r="H668" s="244"/>
      <c r="I668" s="244"/>
      <c r="J668" s="244"/>
      <c r="K668" s="238"/>
      <c r="L668" s="238"/>
      <c r="M668" s="182" t="s">
        <v>1245</v>
      </c>
      <c r="N668" s="200">
        <v>0</v>
      </c>
      <c r="O668" s="200">
        <v>0</v>
      </c>
      <c r="P668" s="236"/>
      <c r="Q668" s="244"/>
      <c r="R668" s="174"/>
      <c r="S668" s="249"/>
    </row>
    <row r="669" spans="1:19" s="181" customFormat="1" ht="10.199999999999999" x14ac:dyDescent="0.2">
      <c r="A669" s="237">
        <f>A663+1</f>
        <v>107</v>
      </c>
      <c r="B669" s="259">
        <v>44354</v>
      </c>
      <c r="C669" s="259">
        <v>45449</v>
      </c>
      <c r="D669" s="236" t="s">
        <v>515</v>
      </c>
      <c r="E669" s="236" t="s">
        <v>958</v>
      </c>
      <c r="F669" s="236" t="s">
        <v>957</v>
      </c>
      <c r="G669" s="236" t="s">
        <v>1138</v>
      </c>
      <c r="H669" s="236" t="s">
        <v>1075</v>
      </c>
      <c r="I669" s="236" t="s">
        <v>518</v>
      </c>
      <c r="J669" s="236">
        <v>65</v>
      </c>
      <c r="K669" s="238">
        <f>S669*9</f>
        <v>10179</v>
      </c>
      <c r="L669" s="238">
        <f>S669*3</f>
        <v>3393</v>
      </c>
      <c r="M669" s="199" t="s">
        <v>42</v>
      </c>
      <c r="N669" s="236" t="s">
        <v>1142</v>
      </c>
      <c r="O669" s="242"/>
      <c r="P669" s="236" t="s">
        <v>1138</v>
      </c>
      <c r="Q669" s="244"/>
      <c r="R669" s="174"/>
      <c r="S669" s="245">
        <f>14.5*J669*1*(1+0.1+0.9)*0.6</f>
        <v>1131</v>
      </c>
    </row>
    <row r="670" spans="1:19" s="181" customFormat="1" ht="20.399999999999999" x14ac:dyDescent="0.2">
      <c r="A670" s="237"/>
      <c r="B670" s="244"/>
      <c r="C670" s="244"/>
      <c r="D670" s="244"/>
      <c r="E670" s="236"/>
      <c r="F670" s="236"/>
      <c r="G670" s="244"/>
      <c r="H670" s="244"/>
      <c r="I670" s="244"/>
      <c r="J670" s="244"/>
      <c r="K670" s="238"/>
      <c r="L670" s="238"/>
      <c r="M670" s="199" t="s">
        <v>43</v>
      </c>
      <c r="N670" s="242"/>
      <c r="O670" s="242"/>
      <c r="P670" s="244"/>
      <c r="Q670" s="244"/>
      <c r="R670" s="174"/>
      <c r="S670" s="249"/>
    </row>
    <row r="671" spans="1:19" s="181" customFormat="1" ht="10.199999999999999" x14ac:dyDescent="0.2">
      <c r="A671" s="237"/>
      <c r="B671" s="244"/>
      <c r="C671" s="244"/>
      <c r="D671" s="244"/>
      <c r="E671" s="244"/>
      <c r="F671" s="236"/>
      <c r="G671" s="244"/>
      <c r="H671" s="244"/>
      <c r="I671" s="244"/>
      <c r="J671" s="244"/>
      <c r="K671" s="238"/>
      <c r="L671" s="238"/>
      <c r="M671" s="199" t="s">
        <v>44</v>
      </c>
      <c r="N671" s="242"/>
      <c r="O671" s="242"/>
      <c r="P671" s="244"/>
      <c r="Q671" s="244"/>
      <c r="R671" s="174"/>
      <c r="S671" s="249"/>
    </row>
    <row r="672" spans="1:19" s="181" customFormat="1" ht="10.199999999999999" x14ac:dyDescent="0.2">
      <c r="A672" s="237"/>
      <c r="B672" s="244"/>
      <c r="C672" s="244"/>
      <c r="D672" s="244"/>
      <c r="E672" s="244"/>
      <c r="F672" s="236"/>
      <c r="G672" s="244"/>
      <c r="H672" s="244"/>
      <c r="I672" s="244"/>
      <c r="J672" s="244"/>
      <c r="K672" s="238"/>
      <c r="L672" s="238"/>
      <c r="M672" s="199" t="s">
        <v>45</v>
      </c>
      <c r="N672" s="242"/>
      <c r="O672" s="242"/>
      <c r="P672" s="244"/>
      <c r="Q672" s="244"/>
      <c r="R672" s="174"/>
      <c r="S672" s="249"/>
    </row>
    <row r="673" spans="1:19" s="181" customFormat="1" ht="24" customHeight="1" x14ac:dyDescent="0.2">
      <c r="A673" s="237"/>
      <c r="B673" s="244"/>
      <c r="C673" s="244"/>
      <c r="D673" s="244"/>
      <c r="E673" s="244"/>
      <c r="F673" s="236"/>
      <c r="G673" s="244"/>
      <c r="H673" s="244"/>
      <c r="I673" s="244"/>
      <c r="J673" s="244"/>
      <c r="K673" s="238"/>
      <c r="L673" s="238"/>
      <c r="M673" s="199" t="s">
        <v>46</v>
      </c>
      <c r="N673" s="242"/>
      <c r="O673" s="242"/>
      <c r="P673" s="244"/>
      <c r="Q673" s="244"/>
      <c r="R673" s="174"/>
      <c r="S673" s="249"/>
    </row>
    <row r="674" spans="1:19" s="181" customFormat="1" ht="24.75" customHeight="1" x14ac:dyDescent="0.2">
      <c r="A674" s="237"/>
      <c r="B674" s="244"/>
      <c r="C674" s="244"/>
      <c r="D674" s="244"/>
      <c r="E674" s="244"/>
      <c r="F674" s="236"/>
      <c r="G674" s="244"/>
      <c r="H674" s="244"/>
      <c r="I674" s="244"/>
      <c r="J674" s="244"/>
      <c r="K674" s="238"/>
      <c r="L674" s="238"/>
      <c r="M674" s="182" t="s">
        <v>1245</v>
      </c>
      <c r="N674" s="200">
        <v>903.8</v>
      </c>
      <c r="O674" s="200">
        <v>117.05</v>
      </c>
      <c r="P674" s="244"/>
      <c r="Q674" s="244"/>
      <c r="R674" s="174"/>
      <c r="S674" s="249"/>
    </row>
    <row r="675" spans="1:19" s="181" customFormat="1" ht="11.25" customHeight="1" x14ac:dyDescent="0.2">
      <c r="A675" s="237">
        <f>A669+1</f>
        <v>108</v>
      </c>
      <c r="B675" s="243">
        <v>44363</v>
      </c>
      <c r="C675" s="243">
        <v>46188</v>
      </c>
      <c r="D675" s="247" t="s">
        <v>519</v>
      </c>
      <c r="E675" s="236" t="s">
        <v>958</v>
      </c>
      <c r="F675" s="236" t="s">
        <v>957</v>
      </c>
      <c r="G675" s="247" t="s">
        <v>1135</v>
      </c>
      <c r="H675" s="247" t="s">
        <v>1076</v>
      </c>
      <c r="I675" s="247" t="s">
        <v>523</v>
      </c>
      <c r="J675" s="248">
        <v>103.1</v>
      </c>
      <c r="K675" s="238">
        <f>S675*9</f>
        <v>60061.111199999999</v>
      </c>
      <c r="L675" s="238">
        <f>S675*3</f>
        <v>20020.3704</v>
      </c>
      <c r="M675" s="199" t="s">
        <v>42</v>
      </c>
      <c r="N675" s="172">
        <v>356.38</v>
      </c>
      <c r="O675" s="172">
        <v>356.8</v>
      </c>
      <c r="P675" s="247" t="s">
        <v>1135</v>
      </c>
      <c r="Q675" s="244"/>
      <c r="R675" s="174"/>
      <c r="S675" s="245">
        <f>14.5*J675*1.2*(1+1.2+0.9)*1.2</f>
        <v>6673.4567999999999</v>
      </c>
    </row>
    <row r="676" spans="1:19" s="181" customFormat="1" ht="22.5" customHeight="1" x14ac:dyDescent="0.2">
      <c r="A676" s="237"/>
      <c r="B676" s="244"/>
      <c r="C676" s="244"/>
      <c r="D676" s="244"/>
      <c r="E676" s="236"/>
      <c r="F676" s="236"/>
      <c r="G676" s="244"/>
      <c r="H676" s="244"/>
      <c r="I676" s="244"/>
      <c r="J676" s="244"/>
      <c r="K676" s="238"/>
      <c r="L676" s="238"/>
      <c r="M676" s="199" t="s">
        <v>43</v>
      </c>
      <c r="N676" s="172">
        <v>42.14</v>
      </c>
      <c r="O676" s="172">
        <v>42.14</v>
      </c>
      <c r="P676" s="244"/>
      <c r="Q676" s="244"/>
      <c r="R676" s="174"/>
      <c r="S676" s="249"/>
    </row>
    <row r="677" spans="1:19" s="181" customFormat="1" ht="11.25" customHeight="1" x14ac:dyDescent="0.2">
      <c r="A677" s="237"/>
      <c r="B677" s="244"/>
      <c r="C677" s="244"/>
      <c r="D677" s="244"/>
      <c r="E677" s="244"/>
      <c r="F677" s="236"/>
      <c r="G677" s="244"/>
      <c r="H677" s="244"/>
      <c r="I677" s="244"/>
      <c r="J677" s="244"/>
      <c r="K677" s="238"/>
      <c r="L677" s="238"/>
      <c r="M677" s="199" t="s">
        <v>44</v>
      </c>
      <c r="N677" s="172">
        <v>0</v>
      </c>
      <c r="O677" s="172">
        <v>0</v>
      </c>
      <c r="P677" s="244"/>
      <c r="Q677" s="244"/>
      <c r="R677" s="174"/>
      <c r="S677" s="249"/>
    </row>
    <row r="678" spans="1:19" s="181" customFormat="1" ht="11.25" customHeight="1" x14ac:dyDescent="0.2">
      <c r="A678" s="237"/>
      <c r="B678" s="244"/>
      <c r="C678" s="244"/>
      <c r="D678" s="244"/>
      <c r="E678" s="244"/>
      <c r="F678" s="236"/>
      <c r="G678" s="244"/>
      <c r="H678" s="244"/>
      <c r="I678" s="244"/>
      <c r="J678" s="244"/>
      <c r="K678" s="238"/>
      <c r="L678" s="238"/>
      <c r="M678" s="199" t="s">
        <v>45</v>
      </c>
      <c r="N678" s="172">
        <v>503.42</v>
      </c>
      <c r="O678" s="172">
        <v>503.42</v>
      </c>
      <c r="P678" s="244"/>
      <c r="Q678" s="244"/>
      <c r="R678" s="174"/>
      <c r="S678" s="249"/>
    </row>
    <row r="679" spans="1:19" s="181" customFormat="1" ht="11.25" customHeight="1" x14ac:dyDescent="0.2">
      <c r="A679" s="237"/>
      <c r="B679" s="244"/>
      <c r="C679" s="244"/>
      <c r="D679" s="244"/>
      <c r="E679" s="244"/>
      <c r="F679" s="236"/>
      <c r="G679" s="244"/>
      <c r="H679" s="244"/>
      <c r="I679" s="244"/>
      <c r="J679" s="244"/>
      <c r="K679" s="238"/>
      <c r="L679" s="238"/>
      <c r="M679" s="199" t="s">
        <v>46</v>
      </c>
      <c r="N679" s="172">
        <v>0</v>
      </c>
      <c r="O679" s="172">
        <v>0</v>
      </c>
      <c r="P679" s="244"/>
      <c r="Q679" s="244"/>
      <c r="R679" s="174"/>
      <c r="S679" s="249"/>
    </row>
    <row r="680" spans="1:19" s="181" customFormat="1" ht="11.25" customHeight="1" x14ac:dyDescent="0.2">
      <c r="A680" s="237"/>
      <c r="B680" s="244"/>
      <c r="C680" s="244"/>
      <c r="D680" s="244"/>
      <c r="E680" s="244"/>
      <c r="F680" s="236"/>
      <c r="G680" s="244"/>
      <c r="H680" s="244"/>
      <c r="I680" s="244"/>
      <c r="J680" s="244"/>
      <c r="K680" s="238"/>
      <c r="L680" s="238"/>
      <c r="M680" s="182" t="s">
        <v>1245</v>
      </c>
      <c r="N680" s="237" t="s">
        <v>1177</v>
      </c>
      <c r="O680" s="284"/>
      <c r="P680" s="244"/>
      <c r="Q680" s="244"/>
      <c r="R680" s="174"/>
      <c r="S680" s="249"/>
    </row>
    <row r="681" spans="1:19" s="181" customFormat="1" ht="10.199999999999999" x14ac:dyDescent="0.2">
      <c r="A681" s="237">
        <f>A675+1</f>
        <v>109</v>
      </c>
      <c r="B681" s="259">
        <v>44314</v>
      </c>
      <c r="C681" s="259">
        <v>46140</v>
      </c>
      <c r="D681" s="236" t="s">
        <v>650</v>
      </c>
      <c r="E681" s="236" t="s">
        <v>1129</v>
      </c>
      <c r="F681" s="236" t="s">
        <v>957</v>
      </c>
      <c r="G681" s="236" t="s">
        <v>1136</v>
      </c>
      <c r="H681" s="236" t="s">
        <v>1078</v>
      </c>
      <c r="I681" s="236" t="s">
        <v>656</v>
      </c>
      <c r="J681" s="241">
        <v>842.7</v>
      </c>
      <c r="K681" s="238">
        <f>S681*9</f>
        <v>68182.857000000018</v>
      </c>
      <c r="L681" s="238">
        <f>S681*3</f>
        <v>22727.619000000006</v>
      </c>
      <c r="M681" s="199" t="s">
        <v>42</v>
      </c>
      <c r="N681" s="172">
        <v>0</v>
      </c>
      <c r="O681" s="172">
        <v>0</v>
      </c>
      <c r="P681" s="236" t="s">
        <v>1136</v>
      </c>
      <c r="Q681" s="244"/>
      <c r="R681" s="174"/>
      <c r="S681" s="245">
        <f>14.5*J681*1*(1+1.2+0.9)*0.2</f>
        <v>7575.8730000000014</v>
      </c>
    </row>
    <row r="682" spans="1:19" s="181" customFormat="1" ht="20.399999999999999" x14ac:dyDescent="0.2">
      <c r="A682" s="240"/>
      <c r="B682" s="257"/>
      <c r="C682" s="257"/>
      <c r="D682" s="257"/>
      <c r="E682" s="236"/>
      <c r="F682" s="251"/>
      <c r="G682" s="251"/>
      <c r="H682" s="257"/>
      <c r="I682" s="257"/>
      <c r="J682" s="257"/>
      <c r="K682" s="238"/>
      <c r="L682" s="239"/>
      <c r="M682" s="199" t="s">
        <v>43</v>
      </c>
      <c r="N682" s="172">
        <v>0</v>
      </c>
      <c r="O682" s="172">
        <v>0</v>
      </c>
      <c r="P682" s="251"/>
      <c r="Q682" s="257"/>
      <c r="R682" s="174"/>
      <c r="S682" s="258"/>
    </row>
    <row r="683" spans="1:19" s="181" customFormat="1" ht="11.25" customHeight="1" x14ac:dyDescent="0.2">
      <c r="A683" s="240"/>
      <c r="B683" s="257"/>
      <c r="C683" s="257"/>
      <c r="D683" s="257"/>
      <c r="E683" s="257"/>
      <c r="F683" s="251"/>
      <c r="G683" s="251"/>
      <c r="H683" s="257"/>
      <c r="I683" s="257"/>
      <c r="J683" s="257"/>
      <c r="K683" s="238"/>
      <c r="L683" s="239"/>
      <c r="M683" s="199" t="s">
        <v>44</v>
      </c>
      <c r="N683" s="172">
        <v>0</v>
      </c>
      <c r="O683" s="172">
        <v>0</v>
      </c>
      <c r="P683" s="251"/>
      <c r="Q683" s="257"/>
      <c r="R683" s="174"/>
      <c r="S683" s="258"/>
    </row>
    <row r="684" spans="1:19" s="181" customFormat="1" ht="11.25" customHeight="1" x14ac:dyDescent="0.2">
      <c r="A684" s="240"/>
      <c r="B684" s="257"/>
      <c r="C684" s="257"/>
      <c r="D684" s="257"/>
      <c r="E684" s="257"/>
      <c r="F684" s="251"/>
      <c r="G684" s="251"/>
      <c r="H684" s="257"/>
      <c r="I684" s="257"/>
      <c r="J684" s="257"/>
      <c r="K684" s="238"/>
      <c r="L684" s="239"/>
      <c r="M684" s="199" t="s">
        <v>45</v>
      </c>
      <c r="N684" s="172">
        <v>0</v>
      </c>
      <c r="O684" s="172">
        <v>0</v>
      </c>
      <c r="P684" s="251"/>
      <c r="Q684" s="257"/>
      <c r="R684" s="174"/>
      <c r="S684" s="258"/>
    </row>
    <row r="685" spans="1:19" s="181" customFormat="1" ht="11.25" customHeight="1" x14ac:dyDescent="0.2">
      <c r="A685" s="240"/>
      <c r="B685" s="257"/>
      <c r="C685" s="257"/>
      <c r="D685" s="257"/>
      <c r="E685" s="257"/>
      <c r="F685" s="251"/>
      <c r="G685" s="251"/>
      <c r="H685" s="257"/>
      <c r="I685" s="257"/>
      <c r="J685" s="257"/>
      <c r="K685" s="238"/>
      <c r="L685" s="239"/>
      <c r="M685" s="199" t="s">
        <v>46</v>
      </c>
      <c r="N685" s="172">
        <v>0</v>
      </c>
      <c r="O685" s="172">
        <v>0</v>
      </c>
      <c r="P685" s="251"/>
      <c r="Q685" s="257"/>
      <c r="R685" s="174"/>
      <c r="S685" s="258"/>
    </row>
    <row r="686" spans="1:19" s="181" customFormat="1" ht="11.25" customHeight="1" x14ac:dyDescent="0.2">
      <c r="A686" s="240"/>
      <c r="B686" s="257"/>
      <c r="C686" s="257"/>
      <c r="D686" s="257"/>
      <c r="E686" s="257"/>
      <c r="F686" s="251"/>
      <c r="G686" s="251"/>
      <c r="H686" s="257"/>
      <c r="I686" s="257"/>
      <c r="J686" s="257"/>
      <c r="K686" s="238"/>
      <c r="L686" s="239"/>
      <c r="M686" s="182" t="s">
        <v>1245</v>
      </c>
      <c r="N686" s="237" t="s">
        <v>1177</v>
      </c>
      <c r="O686" s="284"/>
      <c r="P686" s="251"/>
      <c r="Q686" s="257"/>
      <c r="R686" s="174"/>
      <c r="S686" s="258"/>
    </row>
    <row r="687" spans="1:19" s="181" customFormat="1" ht="15" customHeight="1" x14ac:dyDescent="0.2">
      <c r="A687" s="237">
        <f>A681+1</f>
        <v>110</v>
      </c>
      <c r="B687" s="243">
        <v>44314</v>
      </c>
      <c r="C687" s="243">
        <v>46113</v>
      </c>
      <c r="D687" s="247" t="s">
        <v>658</v>
      </c>
      <c r="E687" s="236" t="s">
        <v>1129</v>
      </c>
      <c r="F687" s="236" t="s">
        <v>957</v>
      </c>
      <c r="G687" s="247" t="s">
        <v>782</v>
      </c>
      <c r="H687" s="247" t="s">
        <v>1242</v>
      </c>
      <c r="I687" s="247" t="s">
        <v>663</v>
      </c>
      <c r="J687" s="250">
        <v>712.6</v>
      </c>
      <c r="K687" s="238">
        <f>S687*9</f>
        <v>57656.466000000015</v>
      </c>
      <c r="L687" s="238">
        <f>S687*3</f>
        <v>19218.822000000004</v>
      </c>
      <c r="M687" s="199" t="s">
        <v>42</v>
      </c>
      <c r="N687" s="236" t="s">
        <v>1142</v>
      </c>
      <c r="O687" s="242"/>
      <c r="P687" s="247" t="s">
        <v>782</v>
      </c>
      <c r="Q687" s="244"/>
      <c r="R687" s="174"/>
      <c r="S687" s="245">
        <f>14.5*J687*1*(1+1.2+0.9)*0.2</f>
        <v>6406.2740000000013</v>
      </c>
    </row>
    <row r="688" spans="1:19" s="181" customFormat="1" ht="22.5" customHeight="1" x14ac:dyDescent="0.2">
      <c r="A688" s="240"/>
      <c r="B688" s="257"/>
      <c r="C688" s="257"/>
      <c r="D688" s="257"/>
      <c r="E688" s="236"/>
      <c r="F688" s="251"/>
      <c r="G688" s="257"/>
      <c r="H688" s="257"/>
      <c r="I688" s="257"/>
      <c r="J688" s="257"/>
      <c r="K688" s="238"/>
      <c r="L688" s="239"/>
      <c r="M688" s="199" t="s">
        <v>43</v>
      </c>
      <c r="N688" s="242"/>
      <c r="O688" s="242"/>
      <c r="P688" s="257"/>
      <c r="Q688" s="257"/>
      <c r="R688" s="174"/>
      <c r="S688" s="258"/>
    </row>
    <row r="689" spans="1:19" s="181" customFormat="1" ht="18.75" customHeight="1" x14ac:dyDescent="0.2">
      <c r="A689" s="240"/>
      <c r="B689" s="257"/>
      <c r="C689" s="257"/>
      <c r="D689" s="257"/>
      <c r="E689" s="257"/>
      <c r="F689" s="251"/>
      <c r="G689" s="257"/>
      <c r="H689" s="257"/>
      <c r="I689" s="257"/>
      <c r="J689" s="257"/>
      <c r="K689" s="238"/>
      <c r="L689" s="239"/>
      <c r="M689" s="199" t="s">
        <v>44</v>
      </c>
      <c r="N689" s="242"/>
      <c r="O689" s="242"/>
      <c r="P689" s="257"/>
      <c r="Q689" s="257"/>
      <c r="R689" s="174"/>
      <c r="S689" s="258"/>
    </row>
    <row r="690" spans="1:19" s="181" customFormat="1" ht="16.5" customHeight="1" x14ac:dyDescent="0.2">
      <c r="A690" s="240"/>
      <c r="B690" s="257"/>
      <c r="C690" s="257"/>
      <c r="D690" s="257"/>
      <c r="E690" s="257"/>
      <c r="F690" s="251"/>
      <c r="G690" s="257"/>
      <c r="H690" s="257"/>
      <c r="I690" s="257"/>
      <c r="J690" s="257"/>
      <c r="K690" s="238"/>
      <c r="L690" s="239"/>
      <c r="M690" s="199" t="s">
        <v>45</v>
      </c>
      <c r="N690" s="242"/>
      <c r="O690" s="242"/>
      <c r="P690" s="257"/>
      <c r="Q690" s="257"/>
      <c r="R690" s="174"/>
      <c r="S690" s="258"/>
    </row>
    <row r="691" spans="1:19" s="181" customFormat="1" ht="16.5" customHeight="1" x14ac:dyDescent="0.2">
      <c r="A691" s="240"/>
      <c r="B691" s="257"/>
      <c r="C691" s="257"/>
      <c r="D691" s="257"/>
      <c r="E691" s="257"/>
      <c r="F691" s="251"/>
      <c r="G691" s="257"/>
      <c r="H691" s="257"/>
      <c r="I691" s="257"/>
      <c r="J691" s="257"/>
      <c r="K691" s="238"/>
      <c r="L691" s="239"/>
      <c r="M691" s="199" t="s">
        <v>46</v>
      </c>
      <c r="N691" s="242"/>
      <c r="O691" s="242"/>
      <c r="P691" s="257"/>
      <c r="Q691" s="257"/>
      <c r="R691" s="174"/>
      <c r="S691" s="258"/>
    </row>
    <row r="692" spans="1:19" s="181" customFormat="1" ht="17.25" customHeight="1" x14ac:dyDescent="0.2">
      <c r="A692" s="240"/>
      <c r="B692" s="257"/>
      <c r="C692" s="257"/>
      <c r="D692" s="257"/>
      <c r="E692" s="257"/>
      <c r="F692" s="251"/>
      <c r="G692" s="257"/>
      <c r="H692" s="257"/>
      <c r="I692" s="257"/>
      <c r="J692" s="257"/>
      <c r="K692" s="238"/>
      <c r="L692" s="239"/>
      <c r="M692" s="182" t="s">
        <v>1245</v>
      </c>
      <c r="N692" s="237" t="s">
        <v>1177</v>
      </c>
      <c r="O692" s="284"/>
      <c r="P692" s="257"/>
      <c r="Q692" s="257"/>
      <c r="R692" s="174"/>
      <c r="S692" s="258"/>
    </row>
    <row r="693" spans="1:19" s="181" customFormat="1" ht="11.25" customHeight="1" x14ac:dyDescent="0.2">
      <c r="A693" s="237">
        <f>A687+1</f>
        <v>111</v>
      </c>
      <c r="B693" s="243">
        <v>44497</v>
      </c>
      <c r="C693" s="243">
        <v>45592</v>
      </c>
      <c r="D693" s="236" t="s">
        <v>664</v>
      </c>
      <c r="E693" s="236" t="s">
        <v>1129</v>
      </c>
      <c r="F693" s="236" t="s">
        <v>957</v>
      </c>
      <c r="G693" s="247" t="s">
        <v>1140</v>
      </c>
      <c r="H693" s="266" t="s">
        <v>1079</v>
      </c>
      <c r="I693" s="236" t="s">
        <v>668</v>
      </c>
      <c r="J693" s="241">
        <v>12.4</v>
      </c>
      <c r="K693" s="238">
        <f>S693*9</f>
        <v>3611.8224000000005</v>
      </c>
      <c r="L693" s="238">
        <f>S693*3</f>
        <v>1203.9408000000003</v>
      </c>
      <c r="M693" s="199" t="s">
        <v>42</v>
      </c>
      <c r="N693" s="172">
        <v>0</v>
      </c>
      <c r="O693" s="172">
        <v>0</v>
      </c>
      <c r="P693" s="247" t="s">
        <v>1140</v>
      </c>
      <c r="Q693" s="244"/>
      <c r="R693" s="174"/>
      <c r="S693" s="245">
        <f>14.5*J693*1.2*(1+1.2+0.9)*0.6</f>
        <v>401.31360000000006</v>
      </c>
    </row>
    <row r="694" spans="1:19" s="181" customFormat="1" ht="22.5" customHeight="1" x14ac:dyDescent="0.2">
      <c r="A694" s="240"/>
      <c r="B694" s="257"/>
      <c r="C694" s="257"/>
      <c r="D694" s="257"/>
      <c r="E694" s="236"/>
      <c r="F694" s="251"/>
      <c r="G694" s="257"/>
      <c r="H694" s="257"/>
      <c r="I694" s="257"/>
      <c r="J694" s="257"/>
      <c r="K694" s="238"/>
      <c r="L694" s="239"/>
      <c r="M694" s="199" t="s">
        <v>43</v>
      </c>
      <c r="N694" s="172">
        <v>0</v>
      </c>
      <c r="O694" s="172">
        <v>0</v>
      </c>
      <c r="P694" s="257"/>
      <c r="Q694" s="257"/>
      <c r="R694" s="174"/>
      <c r="S694" s="258"/>
    </row>
    <row r="695" spans="1:19" s="181" customFormat="1" ht="11.25" customHeight="1" x14ac:dyDescent="0.2">
      <c r="A695" s="240"/>
      <c r="B695" s="257"/>
      <c r="C695" s="257"/>
      <c r="D695" s="257"/>
      <c r="E695" s="257"/>
      <c r="F695" s="251"/>
      <c r="G695" s="257"/>
      <c r="H695" s="257"/>
      <c r="I695" s="257"/>
      <c r="J695" s="257"/>
      <c r="K695" s="238"/>
      <c r="L695" s="239"/>
      <c r="M695" s="199" t="s">
        <v>44</v>
      </c>
      <c r="N695" s="172">
        <v>0</v>
      </c>
      <c r="O695" s="172">
        <v>0</v>
      </c>
      <c r="P695" s="257"/>
      <c r="Q695" s="257"/>
      <c r="R695" s="174"/>
      <c r="S695" s="258"/>
    </row>
    <row r="696" spans="1:19" s="181" customFormat="1" ht="11.25" customHeight="1" x14ac:dyDescent="0.2">
      <c r="A696" s="240"/>
      <c r="B696" s="257"/>
      <c r="C696" s="257"/>
      <c r="D696" s="257"/>
      <c r="E696" s="257"/>
      <c r="F696" s="251"/>
      <c r="G696" s="257"/>
      <c r="H696" s="257"/>
      <c r="I696" s="257"/>
      <c r="J696" s="257"/>
      <c r="K696" s="238"/>
      <c r="L696" s="239"/>
      <c r="M696" s="199" t="s">
        <v>45</v>
      </c>
      <c r="N696" s="172">
        <v>0</v>
      </c>
      <c r="O696" s="172">
        <v>0</v>
      </c>
      <c r="P696" s="257"/>
      <c r="Q696" s="257"/>
      <c r="R696" s="174"/>
      <c r="S696" s="258"/>
    </row>
    <row r="697" spans="1:19" s="181" customFormat="1" ht="11.25" customHeight="1" x14ac:dyDescent="0.2">
      <c r="A697" s="240"/>
      <c r="B697" s="257"/>
      <c r="C697" s="257"/>
      <c r="D697" s="257"/>
      <c r="E697" s="257"/>
      <c r="F697" s="251"/>
      <c r="G697" s="257"/>
      <c r="H697" s="257"/>
      <c r="I697" s="257"/>
      <c r="J697" s="257"/>
      <c r="K697" s="238"/>
      <c r="L697" s="239"/>
      <c r="M697" s="199" t="s">
        <v>46</v>
      </c>
      <c r="N697" s="172">
        <v>0</v>
      </c>
      <c r="O697" s="172">
        <v>0</v>
      </c>
      <c r="P697" s="257"/>
      <c r="Q697" s="257"/>
      <c r="R697" s="174"/>
      <c r="S697" s="258"/>
    </row>
    <row r="698" spans="1:19" s="181" customFormat="1" ht="11.25" customHeight="1" x14ac:dyDescent="0.2">
      <c r="A698" s="240"/>
      <c r="B698" s="257"/>
      <c r="C698" s="257"/>
      <c r="D698" s="257"/>
      <c r="E698" s="257"/>
      <c r="F698" s="251"/>
      <c r="G698" s="257"/>
      <c r="H698" s="257"/>
      <c r="I698" s="257"/>
      <c r="J698" s="257"/>
      <c r="K698" s="238"/>
      <c r="L698" s="239"/>
      <c r="M698" s="182" t="s">
        <v>1245</v>
      </c>
      <c r="N698" s="237" t="s">
        <v>1177</v>
      </c>
      <c r="O698" s="284"/>
      <c r="P698" s="257"/>
      <c r="Q698" s="257"/>
      <c r="R698" s="174"/>
      <c r="S698" s="258"/>
    </row>
    <row r="699" spans="1:19" s="181" customFormat="1" ht="15.75" customHeight="1" x14ac:dyDescent="0.2">
      <c r="A699" s="237">
        <f>A693+1</f>
        <v>112</v>
      </c>
      <c r="B699" s="243">
        <v>44054</v>
      </c>
      <c r="C699" s="243">
        <v>45148</v>
      </c>
      <c r="D699" s="236" t="s">
        <v>687</v>
      </c>
      <c r="E699" s="236" t="s">
        <v>1129</v>
      </c>
      <c r="F699" s="236" t="s">
        <v>957</v>
      </c>
      <c r="G699" s="247" t="s">
        <v>689</v>
      </c>
      <c r="H699" s="247" t="s">
        <v>690</v>
      </c>
      <c r="I699" s="247" t="s">
        <v>691</v>
      </c>
      <c r="J699" s="250">
        <v>4956.8999999999996</v>
      </c>
      <c r="K699" s="238">
        <f>S699*9</f>
        <v>2606908.0634999997</v>
      </c>
      <c r="L699" s="238">
        <f>S699*3</f>
        <v>868969.3544999999</v>
      </c>
      <c r="M699" s="199" t="s">
        <v>42</v>
      </c>
      <c r="N699" s="172">
        <v>0</v>
      </c>
      <c r="O699" s="172">
        <v>0</v>
      </c>
      <c r="P699" s="247" t="s">
        <v>1196</v>
      </c>
      <c r="Q699" s="237" t="s">
        <v>1195</v>
      </c>
      <c r="R699" s="174"/>
      <c r="S699" s="245">
        <f>14.5*J699*1*(1+1.2+0.9)*1.3</f>
        <v>289656.45149999997</v>
      </c>
    </row>
    <row r="700" spans="1:19" s="181" customFormat="1" ht="21.75" customHeight="1" x14ac:dyDescent="0.2">
      <c r="A700" s="240"/>
      <c r="B700" s="257"/>
      <c r="C700" s="257"/>
      <c r="D700" s="257"/>
      <c r="E700" s="236"/>
      <c r="F700" s="251"/>
      <c r="G700" s="257"/>
      <c r="H700" s="257"/>
      <c r="I700" s="257"/>
      <c r="J700" s="257"/>
      <c r="K700" s="238"/>
      <c r="L700" s="239"/>
      <c r="M700" s="199" t="s">
        <v>43</v>
      </c>
      <c r="N700" s="172">
        <v>0</v>
      </c>
      <c r="O700" s="172">
        <v>0</v>
      </c>
      <c r="P700" s="257"/>
      <c r="Q700" s="240"/>
      <c r="R700" s="174"/>
      <c r="S700" s="258"/>
    </row>
    <row r="701" spans="1:19" s="181" customFormat="1" ht="15.75" customHeight="1" x14ac:dyDescent="0.2">
      <c r="A701" s="240"/>
      <c r="B701" s="257"/>
      <c r="C701" s="257"/>
      <c r="D701" s="257"/>
      <c r="E701" s="257"/>
      <c r="F701" s="251"/>
      <c r="G701" s="257"/>
      <c r="H701" s="257"/>
      <c r="I701" s="257"/>
      <c r="J701" s="257"/>
      <c r="K701" s="238"/>
      <c r="L701" s="239"/>
      <c r="M701" s="199" t="s">
        <v>44</v>
      </c>
      <c r="N701" s="172">
        <v>0</v>
      </c>
      <c r="O701" s="172">
        <v>0</v>
      </c>
      <c r="P701" s="257"/>
      <c r="Q701" s="240"/>
      <c r="R701" s="174"/>
      <c r="S701" s="258"/>
    </row>
    <row r="702" spans="1:19" s="181" customFormat="1" ht="15.75" customHeight="1" x14ac:dyDescent="0.2">
      <c r="A702" s="240"/>
      <c r="B702" s="257"/>
      <c r="C702" s="257"/>
      <c r="D702" s="257"/>
      <c r="E702" s="257"/>
      <c r="F702" s="251"/>
      <c r="G702" s="257"/>
      <c r="H702" s="257"/>
      <c r="I702" s="257"/>
      <c r="J702" s="257"/>
      <c r="K702" s="238"/>
      <c r="L702" s="239"/>
      <c r="M702" s="199" t="s">
        <v>45</v>
      </c>
      <c r="N702" s="172">
        <v>133905.70000000001</v>
      </c>
      <c r="O702" s="172">
        <v>0</v>
      </c>
      <c r="P702" s="257"/>
      <c r="Q702" s="240"/>
      <c r="R702" s="174"/>
      <c r="S702" s="258"/>
    </row>
    <row r="703" spans="1:19" s="181" customFormat="1" ht="15.75" customHeight="1" x14ac:dyDescent="0.2">
      <c r="A703" s="240"/>
      <c r="B703" s="257"/>
      <c r="C703" s="257"/>
      <c r="D703" s="257"/>
      <c r="E703" s="257"/>
      <c r="F703" s="251"/>
      <c r="G703" s="257"/>
      <c r="H703" s="257"/>
      <c r="I703" s="257"/>
      <c r="J703" s="257"/>
      <c r="K703" s="238"/>
      <c r="L703" s="239"/>
      <c r="M703" s="199" t="s">
        <v>46</v>
      </c>
      <c r="N703" s="172">
        <v>0</v>
      </c>
      <c r="O703" s="172">
        <v>0</v>
      </c>
      <c r="P703" s="257"/>
      <c r="Q703" s="240"/>
      <c r="R703" s="174"/>
      <c r="S703" s="258"/>
    </row>
    <row r="704" spans="1:19" s="181" customFormat="1" ht="33" customHeight="1" x14ac:dyDescent="0.2">
      <c r="A704" s="240"/>
      <c r="B704" s="257"/>
      <c r="C704" s="257"/>
      <c r="D704" s="257"/>
      <c r="E704" s="257"/>
      <c r="F704" s="251"/>
      <c r="G704" s="257"/>
      <c r="H704" s="257"/>
      <c r="I704" s="257"/>
      <c r="J704" s="257"/>
      <c r="K704" s="238"/>
      <c r="L704" s="239"/>
      <c r="M704" s="182" t="s">
        <v>1245</v>
      </c>
      <c r="N704" s="237" t="s">
        <v>1177</v>
      </c>
      <c r="O704" s="284"/>
      <c r="P704" s="257"/>
      <c r="Q704" s="240"/>
      <c r="R704" s="174"/>
      <c r="S704" s="258"/>
    </row>
    <row r="705" spans="1:19" s="181" customFormat="1" ht="10.199999999999999" x14ac:dyDescent="0.2">
      <c r="A705" s="237">
        <f>A699+1</f>
        <v>113</v>
      </c>
      <c r="B705" s="259">
        <v>44547</v>
      </c>
      <c r="C705" s="259">
        <v>44712</v>
      </c>
      <c r="D705" s="236" t="s">
        <v>747</v>
      </c>
      <c r="E705" s="236" t="s">
        <v>1129</v>
      </c>
      <c r="F705" s="236" t="s">
        <v>957</v>
      </c>
      <c r="G705" s="236" t="s">
        <v>270</v>
      </c>
      <c r="H705" s="236" t="s">
        <v>748</v>
      </c>
      <c r="I705" s="236" t="s">
        <v>749</v>
      </c>
      <c r="J705" s="241">
        <v>4077</v>
      </c>
      <c r="K705" s="238">
        <f>S705*5</f>
        <v>183261.15000000002</v>
      </c>
      <c r="L705" s="238">
        <f>S705*3</f>
        <v>109956.69</v>
      </c>
      <c r="M705" s="199" t="s">
        <v>42</v>
      </c>
      <c r="N705" s="172">
        <v>1520.44</v>
      </c>
      <c r="O705" s="172">
        <v>0</v>
      </c>
      <c r="P705" s="247" t="s">
        <v>782</v>
      </c>
      <c r="Q705" s="236" t="s">
        <v>1193</v>
      </c>
      <c r="R705" s="174"/>
      <c r="S705" s="245">
        <f>14.5*J705*1*(1+1.2+0.9)*0.2</f>
        <v>36652.230000000003</v>
      </c>
    </row>
    <row r="706" spans="1:19" s="181" customFormat="1" ht="20.399999999999999" x14ac:dyDescent="0.2">
      <c r="A706" s="240"/>
      <c r="B706" s="257"/>
      <c r="C706" s="257"/>
      <c r="D706" s="257"/>
      <c r="E706" s="236"/>
      <c r="F706" s="251"/>
      <c r="G706" s="257"/>
      <c r="H706" s="251"/>
      <c r="I706" s="257"/>
      <c r="J706" s="257"/>
      <c r="K706" s="238"/>
      <c r="L706" s="239"/>
      <c r="M706" s="199" t="s">
        <v>43</v>
      </c>
      <c r="N706" s="172">
        <v>1431.56</v>
      </c>
      <c r="O706" s="172">
        <v>0</v>
      </c>
      <c r="P706" s="257"/>
      <c r="Q706" s="251"/>
      <c r="R706" s="183">
        <f>N705+N706+N708</f>
        <v>9359.91</v>
      </c>
      <c r="S706" s="258"/>
    </row>
    <row r="707" spans="1:19" s="181" customFormat="1" ht="10.199999999999999" x14ac:dyDescent="0.2">
      <c r="A707" s="240"/>
      <c r="B707" s="257"/>
      <c r="C707" s="257"/>
      <c r="D707" s="257"/>
      <c r="E707" s="257"/>
      <c r="F707" s="251"/>
      <c r="G707" s="257"/>
      <c r="H707" s="251"/>
      <c r="I707" s="257"/>
      <c r="J707" s="257"/>
      <c r="K707" s="238"/>
      <c r="L707" s="239"/>
      <c r="M707" s="199" t="s">
        <v>44</v>
      </c>
      <c r="N707" s="172">
        <v>0</v>
      </c>
      <c r="O707" s="172">
        <v>0</v>
      </c>
      <c r="P707" s="257"/>
      <c r="Q707" s="251"/>
      <c r="R707" s="174"/>
      <c r="S707" s="258"/>
    </row>
    <row r="708" spans="1:19" s="181" customFormat="1" ht="10.199999999999999" x14ac:dyDescent="0.2">
      <c r="A708" s="240"/>
      <c r="B708" s="257"/>
      <c r="C708" s="257"/>
      <c r="D708" s="257"/>
      <c r="E708" s="257"/>
      <c r="F708" s="251"/>
      <c r="G708" s="257"/>
      <c r="H708" s="251"/>
      <c r="I708" s="257"/>
      <c r="J708" s="257"/>
      <c r="K708" s="238"/>
      <c r="L708" s="239"/>
      <c r="M708" s="199" t="s">
        <v>45</v>
      </c>
      <c r="N708" s="172">
        <v>6407.91</v>
      </c>
      <c r="O708" s="172">
        <v>0</v>
      </c>
      <c r="P708" s="257"/>
      <c r="Q708" s="251"/>
      <c r="R708" s="174"/>
      <c r="S708" s="258"/>
    </row>
    <row r="709" spans="1:19" s="181" customFormat="1" ht="10.199999999999999" x14ac:dyDescent="0.2">
      <c r="A709" s="240"/>
      <c r="B709" s="257"/>
      <c r="C709" s="257"/>
      <c r="D709" s="257"/>
      <c r="E709" s="257"/>
      <c r="F709" s="251"/>
      <c r="G709" s="257"/>
      <c r="H709" s="251"/>
      <c r="I709" s="257"/>
      <c r="J709" s="257"/>
      <c r="K709" s="238"/>
      <c r="L709" s="239"/>
      <c r="M709" s="199" t="s">
        <v>46</v>
      </c>
      <c r="N709" s="172">
        <v>0</v>
      </c>
      <c r="O709" s="172">
        <v>0</v>
      </c>
      <c r="P709" s="257"/>
      <c r="Q709" s="251"/>
      <c r="R709" s="174"/>
      <c r="S709" s="258"/>
    </row>
    <row r="710" spans="1:19" s="181" customFormat="1" ht="42" customHeight="1" x14ac:dyDescent="0.2">
      <c r="A710" s="240"/>
      <c r="B710" s="257"/>
      <c r="C710" s="257"/>
      <c r="D710" s="257"/>
      <c r="E710" s="257"/>
      <c r="F710" s="251"/>
      <c r="G710" s="257"/>
      <c r="H710" s="251"/>
      <c r="I710" s="257"/>
      <c r="J710" s="257"/>
      <c r="K710" s="238"/>
      <c r="L710" s="239"/>
      <c r="M710" s="182" t="s">
        <v>1245</v>
      </c>
      <c r="N710" s="237" t="s">
        <v>1177</v>
      </c>
      <c r="O710" s="284"/>
      <c r="P710" s="257"/>
      <c r="Q710" s="251"/>
      <c r="R710" s="174"/>
      <c r="S710" s="258"/>
    </row>
    <row r="711" spans="1:19" s="181" customFormat="1" ht="10.199999999999999" x14ac:dyDescent="0.2">
      <c r="A711" s="237">
        <f>A705+1</f>
        <v>114</v>
      </c>
      <c r="B711" s="243">
        <v>44547</v>
      </c>
      <c r="C711" s="243">
        <v>46372</v>
      </c>
      <c r="D711" s="247" t="s">
        <v>750</v>
      </c>
      <c r="E711" s="236" t="s">
        <v>1129</v>
      </c>
      <c r="F711" s="236" t="s">
        <v>957</v>
      </c>
      <c r="G711" s="247" t="s">
        <v>659</v>
      </c>
      <c r="H711" s="247" t="s">
        <v>1080</v>
      </c>
      <c r="I711" s="247" t="s">
        <v>753</v>
      </c>
      <c r="J711" s="250">
        <v>644.70000000000005</v>
      </c>
      <c r="K711" s="238">
        <f>S711*7</f>
        <v>31409.784</v>
      </c>
      <c r="L711" s="238">
        <f>S711*1</f>
        <v>4487.1120000000001</v>
      </c>
      <c r="M711" s="199" t="s">
        <v>42</v>
      </c>
      <c r="N711" s="236" t="s">
        <v>1142</v>
      </c>
      <c r="O711" s="242"/>
      <c r="P711" s="247" t="s">
        <v>782</v>
      </c>
      <c r="Q711" s="236" t="s">
        <v>1243</v>
      </c>
      <c r="R711" s="174"/>
      <c r="S711" s="245">
        <f>14.5*J711*1*(1+0.5+0.9)*0.2</f>
        <v>4487.1120000000001</v>
      </c>
    </row>
    <row r="712" spans="1:19" s="181" customFormat="1" ht="20.399999999999999" x14ac:dyDescent="0.2">
      <c r="A712" s="240"/>
      <c r="B712" s="257"/>
      <c r="C712" s="257"/>
      <c r="D712" s="257"/>
      <c r="E712" s="236"/>
      <c r="F712" s="251"/>
      <c r="G712" s="257"/>
      <c r="H712" s="257"/>
      <c r="I712" s="257"/>
      <c r="J712" s="257"/>
      <c r="K712" s="238"/>
      <c r="L712" s="239"/>
      <c r="M712" s="199" t="s">
        <v>43</v>
      </c>
      <c r="N712" s="242"/>
      <c r="O712" s="242"/>
      <c r="P712" s="257"/>
      <c r="Q712" s="251"/>
      <c r="R712" s="174"/>
      <c r="S712" s="258"/>
    </row>
    <row r="713" spans="1:19" s="181" customFormat="1" ht="10.199999999999999" x14ac:dyDescent="0.2">
      <c r="A713" s="240"/>
      <c r="B713" s="257"/>
      <c r="C713" s="257"/>
      <c r="D713" s="257"/>
      <c r="E713" s="257"/>
      <c r="F713" s="251"/>
      <c r="G713" s="257"/>
      <c r="H713" s="257"/>
      <c r="I713" s="257"/>
      <c r="J713" s="257"/>
      <c r="K713" s="238"/>
      <c r="L713" s="239"/>
      <c r="M713" s="199" t="s">
        <v>44</v>
      </c>
      <c r="N713" s="242"/>
      <c r="O713" s="242"/>
      <c r="P713" s="257"/>
      <c r="Q713" s="251"/>
      <c r="R713" s="174"/>
      <c r="S713" s="258"/>
    </row>
    <row r="714" spans="1:19" s="181" customFormat="1" ht="10.199999999999999" x14ac:dyDescent="0.2">
      <c r="A714" s="240"/>
      <c r="B714" s="257"/>
      <c r="C714" s="257"/>
      <c r="D714" s="257"/>
      <c r="E714" s="257"/>
      <c r="F714" s="251"/>
      <c r="G714" s="257"/>
      <c r="H714" s="257"/>
      <c r="I714" s="257"/>
      <c r="J714" s="257"/>
      <c r="K714" s="238"/>
      <c r="L714" s="239"/>
      <c r="M714" s="199" t="s">
        <v>45</v>
      </c>
      <c r="N714" s="242"/>
      <c r="O714" s="242"/>
      <c r="P714" s="257"/>
      <c r="Q714" s="251"/>
      <c r="R714" s="174"/>
      <c r="S714" s="258"/>
    </row>
    <row r="715" spans="1:19" s="181" customFormat="1" ht="10.199999999999999" x14ac:dyDescent="0.2">
      <c r="A715" s="240"/>
      <c r="B715" s="257"/>
      <c r="C715" s="257"/>
      <c r="D715" s="257"/>
      <c r="E715" s="257"/>
      <c r="F715" s="251"/>
      <c r="G715" s="257"/>
      <c r="H715" s="257"/>
      <c r="I715" s="257"/>
      <c r="J715" s="257"/>
      <c r="K715" s="238"/>
      <c r="L715" s="239"/>
      <c r="M715" s="199" t="s">
        <v>46</v>
      </c>
      <c r="N715" s="242"/>
      <c r="O715" s="242"/>
      <c r="P715" s="257"/>
      <c r="Q715" s="251"/>
      <c r="R715" s="174"/>
      <c r="S715" s="258"/>
    </row>
    <row r="716" spans="1:19" s="181" customFormat="1" x14ac:dyDescent="0.2">
      <c r="A716" s="240"/>
      <c r="B716" s="257"/>
      <c r="C716" s="257"/>
      <c r="D716" s="257"/>
      <c r="E716" s="257"/>
      <c r="F716" s="251"/>
      <c r="G716" s="257"/>
      <c r="H716" s="257"/>
      <c r="I716" s="257"/>
      <c r="J716" s="257"/>
      <c r="K716" s="238"/>
      <c r="L716" s="239"/>
      <c r="M716" s="182" t="s">
        <v>1245</v>
      </c>
      <c r="N716" s="237" t="s">
        <v>1177</v>
      </c>
      <c r="O716" s="284"/>
      <c r="P716" s="257"/>
      <c r="Q716" s="251"/>
      <c r="R716" s="174"/>
      <c r="S716" s="258"/>
    </row>
    <row r="717" spans="1:19" s="181" customFormat="1" ht="10.199999999999999" x14ac:dyDescent="0.2">
      <c r="A717" s="237">
        <f>A711+1</f>
        <v>115</v>
      </c>
      <c r="B717" s="243">
        <v>44440</v>
      </c>
      <c r="C717" s="243">
        <v>45535</v>
      </c>
      <c r="D717" s="236" t="s">
        <v>755</v>
      </c>
      <c r="E717" s="236" t="s">
        <v>1130</v>
      </c>
      <c r="F717" s="236" t="s">
        <v>957</v>
      </c>
      <c r="G717" s="247" t="s">
        <v>756</v>
      </c>
      <c r="H717" s="247" t="s">
        <v>1081</v>
      </c>
      <c r="I717" s="247" t="s">
        <v>760</v>
      </c>
      <c r="J717" s="248">
        <v>31.4</v>
      </c>
      <c r="K717" s="238">
        <f>S717*9</f>
        <v>19816.477199999998</v>
      </c>
      <c r="L717" s="238">
        <f>S717*3</f>
        <v>6605.4923999999992</v>
      </c>
      <c r="M717" s="199" t="s">
        <v>42</v>
      </c>
      <c r="N717" s="172">
        <v>0</v>
      </c>
      <c r="O717" s="172">
        <v>0</v>
      </c>
      <c r="P717" s="247" t="s">
        <v>756</v>
      </c>
      <c r="Q717" s="244"/>
      <c r="R717" s="174"/>
      <c r="S717" s="245">
        <f>14.5*J717*1.2*(1+1.2+0.9)*1.3</f>
        <v>2201.8307999999997</v>
      </c>
    </row>
    <row r="718" spans="1:19" s="181" customFormat="1" ht="20.399999999999999" x14ac:dyDescent="0.2">
      <c r="A718" s="237"/>
      <c r="B718" s="257"/>
      <c r="C718" s="257"/>
      <c r="D718" s="257"/>
      <c r="E718" s="236"/>
      <c r="F718" s="251"/>
      <c r="G718" s="257"/>
      <c r="H718" s="257"/>
      <c r="I718" s="257"/>
      <c r="J718" s="257"/>
      <c r="K718" s="239"/>
      <c r="L718" s="239"/>
      <c r="M718" s="199" t="s">
        <v>43</v>
      </c>
      <c r="N718" s="172">
        <v>0</v>
      </c>
      <c r="O718" s="172">
        <v>0</v>
      </c>
      <c r="P718" s="432"/>
      <c r="Q718" s="257"/>
      <c r="R718" s="174"/>
      <c r="S718" s="258"/>
    </row>
    <row r="719" spans="1:19" s="181" customFormat="1" ht="10.199999999999999" x14ac:dyDescent="0.2">
      <c r="A719" s="237"/>
      <c r="B719" s="257"/>
      <c r="C719" s="257"/>
      <c r="D719" s="257"/>
      <c r="E719" s="257"/>
      <c r="F719" s="251"/>
      <c r="G719" s="257"/>
      <c r="H719" s="257"/>
      <c r="I719" s="257"/>
      <c r="J719" s="257"/>
      <c r="K719" s="239"/>
      <c r="L719" s="239"/>
      <c r="M719" s="199" t="s">
        <v>44</v>
      </c>
      <c r="N719" s="172">
        <v>0</v>
      </c>
      <c r="O719" s="172">
        <v>0</v>
      </c>
      <c r="P719" s="432"/>
      <c r="Q719" s="257"/>
      <c r="R719" s="174"/>
      <c r="S719" s="258"/>
    </row>
    <row r="720" spans="1:19" s="181" customFormat="1" ht="10.199999999999999" x14ac:dyDescent="0.2">
      <c r="A720" s="237"/>
      <c r="B720" s="257"/>
      <c r="C720" s="257"/>
      <c r="D720" s="257"/>
      <c r="E720" s="257"/>
      <c r="F720" s="251"/>
      <c r="G720" s="257"/>
      <c r="H720" s="257"/>
      <c r="I720" s="257"/>
      <c r="J720" s="257"/>
      <c r="K720" s="239"/>
      <c r="L720" s="239"/>
      <c r="M720" s="199" t="s">
        <v>45</v>
      </c>
      <c r="N720" s="172">
        <v>0</v>
      </c>
      <c r="O720" s="172">
        <v>0</v>
      </c>
      <c r="P720" s="432"/>
      <c r="Q720" s="257"/>
      <c r="R720" s="174"/>
      <c r="S720" s="258"/>
    </row>
    <row r="721" spans="1:19" s="181" customFormat="1" ht="10.199999999999999" x14ac:dyDescent="0.2">
      <c r="A721" s="237"/>
      <c r="B721" s="257"/>
      <c r="C721" s="257"/>
      <c r="D721" s="257"/>
      <c r="E721" s="257"/>
      <c r="F721" s="251"/>
      <c r="G721" s="257"/>
      <c r="H721" s="257"/>
      <c r="I721" s="257"/>
      <c r="J721" s="257"/>
      <c r="K721" s="239"/>
      <c r="L721" s="239"/>
      <c r="M721" s="199" t="s">
        <v>46</v>
      </c>
      <c r="N721" s="172">
        <v>0</v>
      </c>
      <c r="O721" s="172">
        <v>0</v>
      </c>
      <c r="P721" s="432"/>
      <c r="Q721" s="257"/>
      <c r="R721" s="174"/>
      <c r="S721" s="258"/>
    </row>
    <row r="722" spans="1:19" s="181" customFormat="1" x14ac:dyDescent="0.3">
      <c r="A722" s="237"/>
      <c r="B722" s="257"/>
      <c r="C722" s="257"/>
      <c r="D722" s="257"/>
      <c r="E722" s="257"/>
      <c r="F722" s="251"/>
      <c r="G722" s="257"/>
      <c r="H722" s="257"/>
      <c r="I722" s="257"/>
      <c r="J722" s="257"/>
      <c r="K722" s="239"/>
      <c r="L722" s="239"/>
      <c r="M722" s="182" t="s">
        <v>1245</v>
      </c>
      <c r="N722" s="237" t="s">
        <v>1177</v>
      </c>
      <c r="O722" s="284"/>
      <c r="P722" s="204"/>
      <c r="Q722" s="257"/>
      <c r="R722" s="174"/>
      <c r="S722" s="258"/>
    </row>
    <row r="723" spans="1:19" s="181" customFormat="1" ht="10.199999999999999" x14ac:dyDescent="0.2">
      <c r="A723" s="237">
        <f>A717+1</f>
        <v>116</v>
      </c>
      <c r="B723" s="259">
        <v>44271</v>
      </c>
      <c r="C723" s="259">
        <v>45275</v>
      </c>
      <c r="D723" s="236" t="s">
        <v>809</v>
      </c>
      <c r="E723" s="236" t="s">
        <v>1131</v>
      </c>
      <c r="F723" s="236" t="s">
        <v>957</v>
      </c>
      <c r="G723" s="236" t="s">
        <v>1139</v>
      </c>
      <c r="H723" s="236" t="s">
        <v>1083</v>
      </c>
      <c r="I723" s="236" t="s">
        <v>813</v>
      </c>
      <c r="J723" s="236">
        <v>68.400000000000006</v>
      </c>
      <c r="K723" s="238">
        <f>S723*9</f>
        <v>24850.540800000006</v>
      </c>
      <c r="L723" s="238">
        <f>S723*3</f>
        <v>8283.513600000002</v>
      </c>
      <c r="M723" s="199" t="s">
        <v>42</v>
      </c>
      <c r="N723" s="172">
        <v>34.29</v>
      </c>
      <c r="O723" s="172">
        <v>34.29</v>
      </c>
      <c r="P723" s="236" t="s">
        <v>1139</v>
      </c>
      <c r="Q723" s="244"/>
      <c r="R723" s="174"/>
      <c r="S723" s="245">
        <f>14.5*J723*1.2*(1+1.2+0.7)*0.8</f>
        <v>2761.1712000000007</v>
      </c>
    </row>
    <row r="724" spans="1:19" s="181" customFormat="1" ht="20.399999999999999" x14ac:dyDescent="0.2">
      <c r="A724" s="237"/>
      <c r="B724" s="257"/>
      <c r="C724" s="251"/>
      <c r="D724" s="251"/>
      <c r="E724" s="236"/>
      <c r="F724" s="251"/>
      <c r="G724" s="251"/>
      <c r="H724" s="257"/>
      <c r="I724" s="257"/>
      <c r="J724" s="257"/>
      <c r="K724" s="239"/>
      <c r="L724" s="239"/>
      <c r="M724" s="199" t="s">
        <v>43</v>
      </c>
      <c r="N724" s="172">
        <v>15.28</v>
      </c>
      <c r="O724" s="172">
        <v>15.28</v>
      </c>
      <c r="P724" s="251"/>
      <c r="Q724" s="257"/>
      <c r="R724" s="174"/>
      <c r="S724" s="258"/>
    </row>
    <row r="725" spans="1:19" s="181" customFormat="1" ht="10.199999999999999" x14ac:dyDescent="0.2">
      <c r="A725" s="237"/>
      <c r="B725" s="257"/>
      <c r="C725" s="251"/>
      <c r="D725" s="251"/>
      <c r="E725" s="257"/>
      <c r="F725" s="251"/>
      <c r="G725" s="251"/>
      <c r="H725" s="257"/>
      <c r="I725" s="257"/>
      <c r="J725" s="257"/>
      <c r="K725" s="239"/>
      <c r="L725" s="239"/>
      <c r="M725" s="199" t="s">
        <v>44</v>
      </c>
      <c r="N725" s="172">
        <v>0</v>
      </c>
      <c r="O725" s="172">
        <v>0</v>
      </c>
      <c r="P725" s="251"/>
      <c r="Q725" s="257"/>
      <c r="R725" s="174"/>
      <c r="S725" s="258"/>
    </row>
    <row r="726" spans="1:19" s="181" customFormat="1" ht="10.199999999999999" x14ac:dyDescent="0.2">
      <c r="A726" s="237"/>
      <c r="B726" s="257"/>
      <c r="C726" s="251"/>
      <c r="D726" s="251"/>
      <c r="E726" s="257"/>
      <c r="F726" s="251"/>
      <c r="G726" s="251"/>
      <c r="H726" s="257"/>
      <c r="I726" s="257"/>
      <c r="J726" s="257"/>
      <c r="K726" s="239"/>
      <c r="L726" s="239"/>
      <c r="M726" s="199" t="s">
        <v>45</v>
      </c>
      <c r="N726" s="172">
        <v>0</v>
      </c>
      <c r="O726" s="172">
        <v>0</v>
      </c>
      <c r="P726" s="251"/>
      <c r="Q726" s="257"/>
      <c r="R726" s="174"/>
      <c r="S726" s="258"/>
    </row>
    <row r="727" spans="1:19" s="181" customFormat="1" ht="10.199999999999999" x14ac:dyDescent="0.2">
      <c r="A727" s="237"/>
      <c r="B727" s="257"/>
      <c r="C727" s="251"/>
      <c r="D727" s="251"/>
      <c r="E727" s="257"/>
      <c r="F727" s="251"/>
      <c r="G727" s="251"/>
      <c r="H727" s="257"/>
      <c r="I727" s="257"/>
      <c r="J727" s="257"/>
      <c r="K727" s="239"/>
      <c r="L727" s="239"/>
      <c r="M727" s="199" t="s">
        <v>46</v>
      </c>
      <c r="N727" s="172">
        <v>0</v>
      </c>
      <c r="O727" s="172">
        <v>0</v>
      </c>
      <c r="P727" s="251"/>
      <c r="Q727" s="257"/>
      <c r="R727" s="174"/>
      <c r="S727" s="258"/>
    </row>
    <row r="728" spans="1:19" s="181" customFormat="1" x14ac:dyDescent="0.2">
      <c r="A728" s="237"/>
      <c r="B728" s="257"/>
      <c r="C728" s="251"/>
      <c r="D728" s="251"/>
      <c r="E728" s="257"/>
      <c r="F728" s="251"/>
      <c r="G728" s="251"/>
      <c r="H728" s="257"/>
      <c r="I728" s="257"/>
      <c r="J728" s="257"/>
      <c r="K728" s="239"/>
      <c r="L728" s="239"/>
      <c r="M728" s="182" t="s">
        <v>1245</v>
      </c>
      <c r="N728" s="237" t="s">
        <v>1177</v>
      </c>
      <c r="O728" s="284"/>
      <c r="P728" s="251"/>
      <c r="Q728" s="257"/>
      <c r="R728" s="174"/>
      <c r="S728" s="258"/>
    </row>
    <row r="729" spans="1:19" s="181" customFormat="1" ht="10.199999999999999" x14ac:dyDescent="0.2">
      <c r="A729" s="237">
        <f>A723+1</f>
        <v>117</v>
      </c>
      <c r="B729" s="256">
        <v>44763</v>
      </c>
      <c r="C729" s="256">
        <v>46588</v>
      </c>
      <c r="D729" s="247" t="s">
        <v>1192</v>
      </c>
      <c r="E729" s="236" t="s">
        <v>1132</v>
      </c>
      <c r="F729" s="236" t="s">
        <v>957</v>
      </c>
      <c r="G729" s="247" t="s">
        <v>756</v>
      </c>
      <c r="H729" s="247" t="s">
        <v>1084</v>
      </c>
      <c r="I729" s="247" t="s">
        <v>116</v>
      </c>
      <c r="J729" s="248">
        <v>243.3</v>
      </c>
      <c r="K729" s="238">
        <f>S729*9</f>
        <v>141734.90160000001</v>
      </c>
      <c r="L729" s="238">
        <f>S729*3</f>
        <v>47244.967199999999</v>
      </c>
      <c r="M729" s="199" t="s">
        <v>42</v>
      </c>
      <c r="N729" s="236" t="s">
        <v>1142</v>
      </c>
      <c r="O729" s="251"/>
      <c r="P729" s="247" t="s">
        <v>756</v>
      </c>
      <c r="Q729" s="244"/>
      <c r="R729" s="174"/>
      <c r="S729" s="245">
        <f>14.5*J729*1.2*(1+1.2+0.9)*1.2</f>
        <v>15748.322400000001</v>
      </c>
    </row>
    <row r="730" spans="1:19" s="181" customFormat="1" ht="20.399999999999999" x14ac:dyDescent="0.2">
      <c r="A730" s="237"/>
      <c r="B730" s="257"/>
      <c r="C730" s="257"/>
      <c r="D730" s="257"/>
      <c r="E730" s="257"/>
      <c r="F730" s="251"/>
      <c r="G730" s="251"/>
      <c r="H730" s="257"/>
      <c r="I730" s="257"/>
      <c r="J730" s="257"/>
      <c r="K730" s="239"/>
      <c r="L730" s="239"/>
      <c r="M730" s="199" t="s">
        <v>43</v>
      </c>
      <c r="N730" s="251"/>
      <c r="O730" s="251"/>
      <c r="P730" s="251"/>
      <c r="Q730" s="257"/>
      <c r="R730" s="174"/>
      <c r="S730" s="258"/>
    </row>
    <row r="731" spans="1:19" s="181" customFormat="1" ht="10.199999999999999" x14ac:dyDescent="0.2">
      <c r="A731" s="237"/>
      <c r="B731" s="257"/>
      <c r="C731" s="257"/>
      <c r="D731" s="257"/>
      <c r="E731" s="257"/>
      <c r="F731" s="251"/>
      <c r="G731" s="251"/>
      <c r="H731" s="257"/>
      <c r="I731" s="257"/>
      <c r="J731" s="257"/>
      <c r="K731" s="239"/>
      <c r="L731" s="239"/>
      <c r="M731" s="199" t="s">
        <v>44</v>
      </c>
      <c r="N731" s="251"/>
      <c r="O731" s="251"/>
      <c r="P731" s="251"/>
      <c r="Q731" s="257"/>
      <c r="R731" s="174"/>
      <c r="S731" s="258"/>
    </row>
    <row r="732" spans="1:19" s="181" customFormat="1" ht="10.199999999999999" x14ac:dyDescent="0.2">
      <c r="A732" s="237"/>
      <c r="B732" s="257"/>
      <c r="C732" s="257"/>
      <c r="D732" s="257"/>
      <c r="E732" s="257"/>
      <c r="F732" s="251"/>
      <c r="G732" s="251"/>
      <c r="H732" s="257"/>
      <c r="I732" s="257"/>
      <c r="J732" s="257"/>
      <c r="K732" s="239"/>
      <c r="L732" s="239"/>
      <c r="M732" s="199" t="s">
        <v>45</v>
      </c>
      <c r="N732" s="251"/>
      <c r="O732" s="251"/>
      <c r="P732" s="251"/>
      <c r="Q732" s="257"/>
      <c r="R732" s="174"/>
      <c r="S732" s="258"/>
    </row>
    <row r="733" spans="1:19" s="181" customFormat="1" ht="10.199999999999999" x14ac:dyDescent="0.2">
      <c r="A733" s="237"/>
      <c r="B733" s="257"/>
      <c r="C733" s="257"/>
      <c r="D733" s="257"/>
      <c r="E733" s="257"/>
      <c r="F733" s="251"/>
      <c r="G733" s="251"/>
      <c r="H733" s="257"/>
      <c r="I733" s="257"/>
      <c r="J733" s="257"/>
      <c r="K733" s="239"/>
      <c r="L733" s="239"/>
      <c r="M733" s="199" t="s">
        <v>46</v>
      </c>
      <c r="N733" s="251"/>
      <c r="O733" s="251"/>
      <c r="P733" s="251"/>
      <c r="Q733" s="257"/>
      <c r="R733" s="174"/>
      <c r="S733" s="258"/>
    </row>
    <row r="734" spans="1:19" s="181" customFormat="1" x14ac:dyDescent="0.2">
      <c r="A734" s="237"/>
      <c r="B734" s="257"/>
      <c r="C734" s="257"/>
      <c r="D734" s="257"/>
      <c r="E734" s="257"/>
      <c r="F734" s="251"/>
      <c r="G734" s="251"/>
      <c r="H734" s="257"/>
      <c r="I734" s="257"/>
      <c r="J734" s="257"/>
      <c r="K734" s="239"/>
      <c r="L734" s="239"/>
      <c r="M734" s="182" t="s">
        <v>1245</v>
      </c>
      <c r="N734" s="237" t="s">
        <v>1177</v>
      </c>
      <c r="O734" s="284"/>
      <c r="P734" s="251"/>
      <c r="Q734" s="257"/>
      <c r="R734" s="174"/>
      <c r="S734" s="258"/>
    </row>
    <row r="735" spans="1:19" s="181" customFormat="1" ht="10.199999999999999" x14ac:dyDescent="0.2">
      <c r="A735" s="237">
        <f>A729+1</f>
        <v>118</v>
      </c>
      <c r="B735" s="256">
        <v>44374</v>
      </c>
      <c r="C735" s="256">
        <v>45449</v>
      </c>
      <c r="D735" s="247" t="s">
        <v>891</v>
      </c>
      <c r="E735" s="236" t="s">
        <v>1133</v>
      </c>
      <c r="F735" s="236" t="s">
        <v>957</v>
      </c>
      <c r="G735" s="247" t="s">
        <v>756</v>
      </c>
      <c r="H735" s="247" t="s">
        <v>1085</v>
      </c>
      <c r="I735" s="247" t="s">
        <v>894</v>
      </c>
      <c r="J735" s="248">
        <v>35.700000000000003</v>
      </c>
      <c r="K735" s="238">
        <f>S735*9</f>
        <v>22530.198600000003</v>
      </c>
      <c r="L735" s="238">
        <f>S735*3</f>
        <v>7510.0662000000011</v>
      </c>
      <c r="M735" s="199" t="s">
        <v>42</v>
      </c>
      <c r="N735" s="172">
        <v>55.76</v>
      </c>
      <c r="O735" s="172">
        <v>55.76</v>
      </c>
      <c r="P735" s="247" t="s">
        <v>756</v>
      </c>
      <c r="Q735" s="244"/>
      <c r="R735" s="174"/>
      <c r="S735" s="245">
        <f>14.5*J735*1.2*(1+1.2+0.9)*1.3</f>
        <v>2503.3554000000004</v>
      </c>
    </row>
    <row r="736" spans="1:19" s="181" customFormat="1" ht="20.399999999999999" x14ac:dyDescent="0.2">
      <c r="A736" s="237"/>
      <c r="B736" s="257"/>
      <c r="C736" s="257"/>
      <c r="D736" s="257"/>
      <c r="E736" s="257"/>
      <c r="F736" s="251"/>
      <c r="G736" s="251"/>
      <c r="H736" s="257"/>
      <c r="I736" s="257"/>
      <c r="J736" s="257"/>
      <c r="K736" s="239"/>
      <c r="L736" s="239"/>
      <c r="M736" s="199" t="s">
        <v>43</v>
      </c>
      <c r="N736" s="172">
        <v>6.72</v>
      </c>
      <c r="O736" s="172">
        <v>6.72</v>
      </c>
      <c r="P736" s="251"/>
      <c r="Q736" s="257"/>
      <c r="R736" s="174"/>
      <c r="S736" s="258"/>
    </row>
    <row r="737" spans="1:19" s="181" customFormat="1" ht="10.199999999999999" x14ac:dyDescent="0.2">
      <c r="A737" s="237"/>
      <c r="B737" s="257"/>
      <c r="C737" s="257"/>
      <c r="D737" s="257"/>
      <c r="E737" s="257"/>
      <c r="F737" s="251"/>
      <c r="G737" s="251"/>
      <c r="H737" s="257"/>
      <c r="I737" s="257"/>
      <c r="J737" s="257"/>
      <c r="K737" s="239"/>
      <c r="L737" s="239"/>
      <c r="M737" s="199" t="s">
        <v>44</v>
      </c>
      <c r="N737" s="172">
        <v>0</v>
      </c>
      <c r="O737" s="172">
        <v>0</v>
      </c>
      <c r="P737" s="251"/>
      <c r="Q737" s="257"/>
      <c r="R737" s="174"/>
      <c r="S737" s="258"/>
    </row>
    <row r="738" spans="1:19" s="181" customFormat="1" ht="10.199999999999999" x14ac:dyDescent="0.2">
      <c r="A738" s="237"/>
      <c r="B738" s="257"/>
      <c r="C738" s="257"/>
      <c r="D738" s="257"/>
      <c r="E738" s="257"/>
      <c r="F738" s="251"/>
      <c r="G738" s="251"/>
      <c r="H738" s="257"/>
      <c r="I738" s="257"/>
      <c r="J738" s="257"/>
      <c r="K738" s="239"/>
      <c r="L738" s="239"/>
      <c r="M738" s="199" t="s">
        <v>45</v>
      </c>
      <c r="N738" s="172">
        <v>0</v>
      </c>
      <c r="O738" s="172">
        <v>0</v>
      </c>
      <c r="P738" s="251"/>
      <c r="Q738" s="257"/>
      <c r="R738" s="174"/>
      <c r="S738" s="258"/>
    </row>
    <row r="739" spans="1:19" s="181" customFormat="1" ht="10.199999999999999" x14ac:dyDescent="0.2">
      <c r="A739" s="237"/>
      <c r="B739" s="257"/>
      <c r="C739" s="257"/>
      <c r="D739" s="257"/>
      <c r="E739" s="257"/>
      <c r="F739" s="251"/>
      <c r="G739" s="251"/>
      <c r="H739" s="257"/>
      <c r="I739" s="257"/>
      <c r="J739" s="257"/>
      <c r="K739" s="239"/>
      <c r="L739" s="239"/>
      <c r="M739" s="199" t="s">
        <v>46</v>
      </c>
      <c r="N739" s="172">
        <v>14.55</v>
      </c>
      <c r="O739" s="172">
        <v>14.55</v>
      </c>
      <c r="P739" s="251"/>
      <c r="Q739" s="257"/>
      <c r="R739" s="174"/>
      <c r="S739" s="258"/>
    </row>
    <row r="740" spans="1:19" s="181" customFormat="1" x14ac:dyDescent="0.2">
      <c r="A740" s="237"/>
      <c r="B740" s="257"/>
      <c r="C740" s="257"/>
      <c r="D740" s="257"/>
      <c r="E740" s="257"/>
      <c r="F740" s="251"/>
      <c r="G740" s="251"/>
      <c r="H740" s="257"/>
      <c r="I740" s="257"/>
      <c r="J740" s="257"/>
      <c r="K740" s="239"/>
      <c r="L740" s="239"/>
      <c r="M740" s="182" t="s">
        <v>1245</v>
      </c>
      <c r="N740" s="237" t="s">
        <v>1177</v>
      </c>
      <c r="O740" s="284"/>
      <c r="P740" s="207"/>
      <c r="Q740" s="257"/>
      <c r="R740" s="174"/>
      <c r="S740" s="258"/>
    </row>
    <row r="741" spans="1:19" s="181" customFormat="1" ht="10.199999999999999" x14ac:dyDescent="0.2">
      <c r="A741" s="237">
        <f>A735+1</f>
        <v>119</v>
      </c>
      <c r="B741" s="243">
        <v>43896</v>
      </c>
      <c r="C741" s="243">
        <v>44926</v>
      </c>
      <c r="D741" s="236" t="s">
        <v>921</v>
      </c>
      <c r="E741" s="236" t="s">
        <v>1133</v>
      </c>
      <c r="F741" s="236" t="s">
        <v>957</v>
      </c>
      <c r="G741" s="247" t="s">
        <v>1120</v>
      </c>
      <c r="H741" s="247" t="s">
        <v>1121</v>
      </c>
      <c r="I741" s="247" t="s">
        <v>925</v>
      </c>
      <c r="J741" s="248">
        <v>185.3</v>
      </c>
      <c r="K741" s="238">
        <f>S741*6</f>
        <v>71964.590400000001</v>
      </c>
      <c r="L741" s="238">
        <f>S741*3</f>
        <v>35982.2952</v>
      </c>
      <c r="M741" s="199" t="s">
        <v>42</v>
      </c>
      <c r="N741" s="172">
        <v>156.1</v>
      </c>
      <c r="O741" s="172">
        <v>156.1</v>
      </c>
      <c r="P741" s="247" t="s">
        <v>1120</v>
      </c>
      <c r="Q741" s="244"/>
      <c r="R741" s="174"/>
      <c r="S741" s="245">
        <f>14.5*J741*1.2*(1+1.2+0.9)*1.2</f>
        <v>11994.098400000001</v>
      </c>
    </row>
    <row r="742" spans="1:19" s="181" customFormat="1" ht="20.399999999999999" x14ac:dyDescent="0.2">
      <c r="A742" s="237"/>
      <c r="B742" s="257"/>
      <c r="C742" s="257"/>
      <c r="D742" s="257"/>
      <c r="E742" s="257"/>
      <c r="F742" s="251"/>
      <c r="G742" s="257"/>
      <c r="H742" s="257"/>
      <c r="I742" s="257"/>
      <c r="J742" s="257"/>
      <c r="K742" s="239"/>
      <c r="L742" s="239"/>
      <c r="M742" s="199" t="s">
        <v>43</v>
      </c>
      <c r="N742" s="172">
        <v>35.03</v>
      </c>
      <c r="O742" s="172">
        <v>35.03</v>
      </c>
      <c r="P742" s="257"/>
      <c r="Q742" s="257"/>
      <c r="R742" s="174"/>
      <c r="S742" s="258"/>
    </row>
    <row r="743" spans="1:19" s="181" customFormat="1" ht="10.199999999999999" x14ac:dyDescent="0.2">
      <c r="A743" s="237"/>
      <c r="B743" s="257"/>
      <c r="C743" s="257"/>
      <c r="D743" s="257"/>
      <c r="E743" s="257"/>
      <c r="F743" s="251"/>
      <c r="G743" s="257"/>
      <c r="H743" s="257"/>
      <c r="I743" s="257"/>
      <c r="J743" s="257"/>
      <c r="K743" s="239"/>
      <c r="L743" s="239"/>
      <c r="M743" s="199" t="s">
        <v>44</v>
      </c>
      <c r="N743" s="172">
        <v>0</v>
      </c>
      <c r="O743" s="172">
        <v>0</v>
      </c>
      <c r="P743" s="257"/>
      <c r="Q743" s="257"/>
      <c r="R743" s="174"/>
      <c r="S743" s="258"/>
    </row>
    <row r="744" spans="1:19" s="181" customFormat="1" ht="10.199999999999999" x14ac:dyDescent="0.2">
      <c r="A744" s="237"/>
      <c r="B744" s="257"/>
      <c r="C744" s="257"/>
      <c r="D744" s="257"/>
      <c r="E744" s="257"/>
      <c r="F744" s="251"/>
      <c r="G744" s="257"/>
      <c r="H744" s="257"/>
      <c r="I744" s="257"/>
      <c r="J744" s="257"/>
      <c r="K744" s="239"/>
      <c r="L744" s="239"/>
      <c r="M744" s="199" t="s">
        <v>45</v>
      </c>
      <c r="N744" s="172">
        <v>0</v>
      </c>
      <c r="O744" s="172">
        <v>0</v>
      </c>
      <c r="P744" s="257"/>
      <c r="Q744" s="257"/>
      <c r="R744" s="174"/>
      <c r="S744" s="258"/>
    </row>
    <row r="745" spans="1:19" s="181" customFormat="1" ht="10.199999999999999" x14ac:dyDescent="0.2">
      <c r="A745" s="237"/>
      <c r="B745" s="257"/>
      <c r="C745" s="257"/>
      <c r="D745" s="257"/>
      <c r="E745" s="257"/>
      <c r="F745" s="251"/>
      <c r="G745" s="257"/>
      <c r="H745" s="257"/>
      <c r="I745" s="257"/>
      <c r="J745" s="257"/>
      <c r="K745" s="239"/>
      <c r="L745" s="239"/>
      <c r="M745" s="199" t="s">
        <v>46</v>
      </c>
      <c r="N745" s="172">
        <v>17.28</v>
      </c>
      <c r="O745" s="172">
        <v>17.28</v>
      </c>
      <c r="P745" s="257"/>
      <c r="Q745" s="257"/>
      <c r="R745" s="174"/>
      <c r="S745" s="258"/>
    </row>
    <row r="746" spans="1:19" s="392" customFormat="1" x14ac:dyDescent="0.3">
      <c r="A746" s="237"/>
      <c r="B746" s="257"/>
      <c r="C746" s="257"/>
      <c r="D746" s="257"/>
      <c r="E746" s="257"/>
      <c r="F746" s="251"/>
      <c r="G746" s="257"/>
      <c r="H746" s="257"/>
      <c r="I746" s="257"/>
      <c r="J746" s="257"/>
      <c r="K746" s="239"/>
      <c r="L746" s="239"/>
      <c r="M746" s="199" t="s">
        <v>1245</v>
      </c>
      <c r="N746" s="237" t="s">
        <v>1177</v>
      </c>
      <c r="O746" s="284"/>
      <c r="P746" s="204"/>
      <c r="Q746" s="257"/>
      <c r="R746" s="398"/>
      <c r="S746" s="258"/>
    </row>
    <row r="747" spans="1:19" s="181" customFormat="1" ht="10.199999999999999" x14ac:dyDescent="0.2">
      <c r="A747" s="237">
        <f>A741+1</f>
        <v>120</v>
      </c>
      <c r="B747" s="243" t="s">
        <v>947</v>
      </c>
      <c r="C747" s="243">
        <v>46189</v>
      </c>
      <c r="D747" s="247" t="s">
        <v>948</v>
      </c>
      <c r="E747" s="236" t="s">
        <v>1133</v>
      </c>
      <c r="F747" s="236" t="s">
        <v>957</v>
      </c>
      <c r="G747" s="247" t="s">
        <v>949</v>
      </c>
      <c r="H747" s="247" t="s">
        <v>1272</v>
      </c>
      <c r="I747" s="247" t="s">
        <v>859</v>
      </c>
      <c r="J747" s="248">
        <v>313.8</v>
      </c>
      <c r="K747" s="238">
        <f>S747*6</f>
        <v>121869.87839999999</v>
      </c>
      <c r="L747" s="238">
        <f>S747*3</f>
        <v>60934.939199999993</v>
      </c>
      <c r="M747" s="199" t="s">
        <v>42</v>
      </c>
      <c r="N747" s="172">
        <v>90431.9</v>
      </c>
      <c r="O747" s="172">
        <v>3471.41</v>
      </c>
      <c r="P747" s="247" t="s">
        <v>949</v>
      </c>
      <c r="Q747" s="244"/>
      <c r="R747" s="174"/>
      <c r="S747" s="245">
        <f>14.5*J747*1.2*(1+1.2+0.9)*1.2</f>
        <v>20311.646399999998</v>
      </c>
    </row>
    <row r="748" spans="1:19" s="181" customFormat="1" ht="20.399999999999999" x14ac:dyDescent="0.2">
      <c r="A748" s="237"/>
      <c r="B748" s="243"/>
      <c r="C748" s="243"/>
      <c r="D748" s="247"/>
      <c r="E748" s="257"/>
      <c r="F748" s="236"/>
      <c r="G748" s="247"/>
      <c r="H748" s="247"/>
      <c r="I748" s="247"/>
      <c r="J748" s="248"/>
      <c r="K748" s="239"/>
      <c r="L748" s="238"/>
      <c r="M748" s="199" t="s">
        <v>43</v>
      </c>
      <c r="N748" s="172">
        <v>10866.6</v>
      </c>
      <c r="O748" s="172">
        <v>278.42</v>
      </c>
      <c r="P748" s="247"/>
      <c r="Q748" s="257"/>
      <c r="R748" s="174"/>
      <c r="S748" s="245"/>
    </row>
    <row r="749" spans="1:19" s="181" customFormat="1" ht="10.199999999999999" x14ac:dyDescent="0.2">
      <c r="A749" s="237"/>
      <c r="B749" s="243"/>
      <c r="C749" s="243"/>
      <c r="D749" s="247"/>
      <c r="E749" s="257"/>
      <c r="F749" s="236"/>
      <c r="G749" s="247"/>
      <c r="H749" s="247"/>
      <c r="I749" s="247"/>
      <c r="J749" s="248"/>
      <c r="K749" s="239"/>
      <c r="L749" s="238"/>
      <c r="M749" s="199" t="s">
        <v>44</v>
      </c>
      <c r="N749" s="172">
        <v>0</v>
      </c>
      <c r="O749" s="172">
        <v>0</v>
      </c>
      <c r="P749" s="247"/>
      <c r="Q749" s="257"/>
      <c r="R749" s="174"/>
      <c r="S749" s="245"/>
    </row>
    <row r="750" spans="1:19" s="181" customFormat="1" ht="10.199999999999999" x14ac:dyDescent="0.2">
      <c r="A750" s="237"/>
      <c r="B750" s="243"/>
      <c r="C750" s="243"/>
      <c r="D750" s="247"/>
      <c r="E750" s="257"/>
      <c r="F750" s="236"/>
      <c r="G750" s="247"/>
      <c r="H750" s="247"/>
      <c r="I750" s="247"/>
      <c r="J750" s="248"/>
      <c r="K750" s="239"/>
      <c r="L750" s="238"/>
      <c r="M750" s="199" t="s">
        <v>45</v>
      </c>
      <c r="N750" s="172">
        <v>139045.98000000001</v>
      </c>
      <c r="O750" s="172"/>
      <c r="P750" s="247"/>
      <c r="Q750" s="257"/>
      <c r="R750" s="174"/>
      <c r="S750" s="245"/>
    </row>
    <row r="751" spans="1:19" s="181" customFormat="1" ht="10.199999999999999" x14ac:dyDescent="0.2">
      <c r="A751" s="237"/>
      <c r="B751" s="243"/>
      <c r="C751" s="243"/>
      <c r="D751" s="247"/>
      <c r="E751" s="257"/>
      <c r="F751" s="236"/>
      <c r="G751" s="247"/>
      <c r="H751" s="247"/>
      <c r="I751" s="247"/>
      <c r="J751" s="248"/>
      <c r="K751" s="239"/>
      <c r="L751" s="238"/>
      <c r="M751" s="199" t="s">
        <v>46</v>
      </c>
      <c r="N751" s="172">
        <v>6488.76</v>
      </c>
      <c r="O751" s="172">
        <v>115.49</v>
      </c>
      <c r="P751" s="247"/>
      <c r="Q751" s="257"/>
      <c r="R751" s="174"/>
      <c r="S751" s="245"/>
    </row>
    <row r="752" spans="1:19" s="181" customFormat="1" x14ac:dyDescent="0.2">
      <c r="A752" s="237"/>
      <c r="B752" s="243"/>
      <c r="C752" s="243"/>
      <c r="D752" s="247"/>
      <c r="E752" s="257"/>
      <c r="F752" s="236"/>
      <c r="G752" s="247"/>
      <c r="H752" s="247"/>
      <c r="I752" s="247"/>
      <c r="J752" s="248"/>
      <c r="K752" s="239"/>
      <c r="L752" s="238"/>
      <c r="M752" s="182" t="s">
        <v>1245</v>
      </c>
      <c r="N752" s="237" t="s">
        <v>1177</v>
      </c>
      <c r="O752" s="284"/>
      <c r="P752" s="247"/>
      <c r="Q752" s="257"/>
      <c r="R752" s="174"/>
      <c r="S752" s="245"/>
    </row>
    <row r="753" spans="1:19" s="181" customFormat="1" ht="10.199999999999999" x14ac:dyDescent="0.2">
      <c r="A753" s="237">
        <f>A747+1</f>
        <v>121</v>
      </c>
      <c r="B753" s="243">
        <v>44784</v>
      </c>
      <c r="C753" s="243">
        <v>46609</v>
      </c>
      <c r="D753" s="247" t="s">
        <v>1231</v>
      </c>
      <c r="E753" s="236" t="s">
        <v>958</v>
      </c>
      <c r="F753" s="236" t="s">
        <v>957</v>
      </c>
      <c r="G753" s="247" t="s">
        <v>1137</v>
      </c>
      <c r="H753" s="247" t="s">
        <v>1273</v>
      </c>
      <c r="I753" s="247" t="s">
        <v>477</v>
      </c>
      <c r="J753" s="248">
        <v>45.4</v>
      </c>
      <c r="K753" s="238">
        <f>S753*1.5</f>
        <v>1737.9119999999998</v>
      </c>
      <c r="L753" s="238">
        <f>S753*1.512</f>
        <v>1751.815296</v>
      </c>
      <c r="M753" s="199" t="s">
        <v>42</v>
      </c>
      <c r="N753" s="186">
        <v>0</v>
      </c>
      <c r="O753" s="186">
        <v>0</v>
      </c>
      <c r="P753" s="247" t="s">
        <v>1137</v>
      </c>
      <c r="Q753" s="244"/>
      <c r="R753" s="174"/>
      <c r="S753" s="245">
        <f>14.5*J753*1*(1+0.1+1.1)*0.8</f>
        <v>1158.6079999999999</v>
      </c>
    </row>
    <row r="754" spans="1:19" s="181" customFormat="1" ht="20.399999999999999" x14ac:dyDescent="0.2">
      <c r="A754" s="237"/>
      <c r="B754" s="244"/>
      <c r="C754" s="244"/>
      <c r="D754" s="244"/>
      <c r="E754" s="236"/>
      <c r="F754" s="236"/>
      <c r="G754" s="236"/>
      <c r="H754" s="244"/>
      <c r="I754" s="244"/>
      <c r="J754" s="244"/>
      <c r="K754" s="238"/>
      <c r="L754" s="238"/>
      <c r="M754" s="199" t="s">
        <v>43</v>
      </c>
      <c r="N754" s="186">
        <v>0</v>
      </c>
      <c r="O754" s="186">
        <v>0</v>
      </c>
      <c r="P754" s="236"/>
      <c r="Q754" s="244"/>
      <c r="R754" s="174"/>
      <c r="S754" s="249"/>
    </row>
    <row r="755" spans="1:19" s="181" customFormat="1" ht="10.199999999999999" x14ac:dyDescent="0.2">
      <c r="A755" s="237"/>
      <c r="B755" s="244"/>
      <c r="C755" s="244"/>
      <c r="D755" s="244"/>
      <c r="E755" s="244"/>
      <c r="F755" s="236"/>
      <c r="G755" s="236"/>
      <c r="H755" s="244"/>
      <c r="I755" s="244"/>
      <c r="J755" s="244"/>
      <c r="K755" s="238"/>
      <c r="L755" s="238"/>
      <c r="M755" s="199" t="s">
        <v>44</v>
      </c>
      <c r="N755" s="186">
        <v>0</v>
      </c>
      <c r="O755" s="186">
        <v>0</v>
      </c>
      <c r="P755" s="236"/>
      <c r="Q755" s="244"/>
      <c r="R755" s="174"/>
      <c r="S755" s="249"/>
    </row>
    <row r="756" spans="1:19" s="181" customFormat="1" ht="10.199999999999999" x14ac:dyDescent="0.2">
      <c r="A756" s="237"/>
      <c r="B756" s="244"/>
      <c r="C756" s="244"/>
      <c r="D756" s="244"/>
      <c r="E756" s="244"/>
      <c r="F756" s="236"/>
      <c r="G756" s="236"/>
      <c r="H756" s="244"/>
      <c r="I756" s="244"/>
      <c r="J756" s="244"/>
      <c r="K756" s="238"/>
      <c r="L756" s="238"/>
      <c r="M756" s="199" t="s">
        <v>45</v>
      </c>
      <c r="N756" s="186">
        <v>0</v>
      </c>
      <c r="O756" s="186">
        <v>0</v>
      </c>
      <c r="P756" s="236"/>
      <c r="Q756" s="244"/>
      <c r="R756" s="174"/>
      <c r="S756" s="249"/>
    </row>
    <row r="757" spans="1:19" s="181" customFormat="1" ht="10.199999999999999" x14ac:dyDescent="0.2">
      <c r="A757" s="237"/>
      <c r="B757" s="244"/>
      <c r="C757" s="244"/>
      <c r="D757" s="244"/>
      <c r="E757" s="244"/>
      <c r="F757" s="236"/>
      <c r="G757" s="236"/>
      <c r="H757" s="244"/>
      <c r="I757" s="244"/>
      <c r="J757" s="244"/>
      <c r="K757" s="238"/>
      <c r="L757" s="238"/>
      <c r="M757" s="199" t="s">
        <v>46</v>
      </c>
      <c r="N757" s="186">
        <v>0</v>
      </c>
      <c r="O757" s="186">
        <v>0</v>
      </c>
      <c r="P757" s="236"/>
      <c r="Q757" s="244"/>
      <c r="R757" s="174"/>
      <c r="S757" s="249"/>
    </row>
    <row r="758" spans="1:19" s="181" customFormat="1" ht="10.199999999999999" x14ac:dyDescent="0.2">
      <c r="A758" s="237"/>
      <c r="B758" s="244"/>
      <c r="C758" s="244"/>
      <c r="D758" s="244"/>
      <c r="E758" s="244"/>
      <c r="F758" s="236"/>
      <c r="G758" s="236"/>
      <c r="H758" s="244"/>
      <c r="I758" s="244"/>
      <c r="J758" s="244"/>
      <c r="K758" s="238"/>
      <c r="L758" s="238"/>
      <c r="M758" s="182" t="s">
        <v>1245</v>
      </c>
      <c r="N758" s="186">
        <v>0</v>
      </c>
      <c r="O758" s="186">
        <v>0</v>
      </c>
      <c r="P758" s="236"/>
      <c r="Q758" s="244"/>
      <c r="R758" s="174"/>
      <c r="S758" s="249"/>
    </row>
    <row r="759" spans="1:19" s="181" customFormat="1" ht="10.199999999999999" x14ac:dyDescent="0.2">
      <c r="A759" s="421"/>
      <c r="B759" s="426" t="s">
        <v>1145</v>
      </c>
      <c r="C759" s="433"/>
      <c r="D759" s="433"/>
      <c r="E759" s="433"/>
      <c r="F759" s="433"/>
      <c r="G759" s="433"/>
      <c r="H759" s="433"/>
      <c r="I759" s="433"/>
      <c r="J759" s="241">
        <f>SUM(J607:J758)</f>
        <v>14419.399999999998</v>
      </c>
      <c r="K759" s="241">
        <f>SUM(K607:K758)</f>
        <v>3898486.9806599994</v>
      </c>
      <c r="L759" s="241">
        <f>SUM(L607:L758)</f>
        <v>1375860.7403160001</v>
      </c>
      <c r="M759" s="176" t="s">
        <v>69</v>
      </c>
      <c r="N759" s="190">
        <f>N760+N761+N762+N763+N764+N765</f>
        <v>402365.50000000006</v>
      </c>
      <c r="O759" s="190">
        <f>O760+O761+O762+O763+O764+O765</f>
        <v>8150.26</v>
      </c>
      <c r="P759" s="434"/>
      <c r="Q759" s="434"/>
      <c r="R759" s="174"/>
      <c r="S759" s="406"/>
    </row>
    <row r="760" spans="1:19" s="181" customFormat="1" ht="10.199999999999999" x14ac:dyDescent="0.2">
      <c r="A760" s="435"/>
      <c r="B760" s="433"/>
      <c r="C760" s="433"/>
      <c r="D760" s="433"/>
      <c r="E760" s="433"/>
      <c r="F760" s="433"/>
      <c r="G760" s="433"/>
      <c r="H760" s="433"/>
      <c r="I760" s="433"/>
      <c r="J760" s="267"/>
      <c r="K760" s="267"/>
      <c r="L760" s="267"/>
      <c r="M760" s="179" t="s">
        <v>42</v>
      </c>
      <c r="N760" s="172">
        <f>N609+N619+N675+N681+N693+N699+N705+N717+N723+N735+N741+N747+N753</f>
        <v>92554.87</v>
      </c>
      <c r="O760" s="172">
        <f>O609+O619+O675+O681+O693+O699+O705+O717+O723+O735+O741+O747+O753</f>
        <v>4074.3599999999997</v>
      </c>
      <c r="P760" s="425"/>
      <c r="Q760" s="425"/>
      <c r="R760" s="174"/>
      <c r="S760" s="406"/>
    </row>
    <row r="761" spans="1:19" s="181" customFormat="1" ht="20.399999999999999" x14ac:dyDescent="0.2">
      <c r="A761" s="435"/>
      <c r="B761" s="433"/>
      <c r="C761" s="433"/>
      <c r="D761" s="433"/>
      <c r="E761" s="433"/>
      <c r="F761" s="433"/>
      <c r="G761" s="433"/>
      <c r="H761" s="433"/>
      <c r="I761" s="433"/>
      <c r="J761" s="267"/>
      <c r="K761" s="267"/>
      <c r="L761" s="267"/>
      <c r="M761" s="179" t="s">
        <v>43</v>
      </c>
      <c r="N761" s="172">
        <f t="shared" ref="N761:O764" si="7">N610+N620+N676+N682+N694+N700+N706+N718+N724+N736+N742+N748</f>
        <v>12397.33</v>
      </c>
      <c r="O761" s="172">
        <f t="shared" si="7"/>
        <v>377.59000000000003</v>
      </c>
      <c r="P761" s="425"/>
      <c r="Q761" s="425"/>
      <c r="R761" s="174"/>
      <c r="S761" s="406"/>
    </row>
    <row r="762" spans="1:19" s="181" customFormat="1" ht="10.199999999999999" x14ac:dyDescent="0.2">
      <c r="A762" s="435"/>
      <c r="B762" s="433"/>
      <c r="C762" s="433"/>
      <c r="D762" s="433"/>
      <c r="E762" s="433"/>
      <c r="F762" s="433"/>
      <c r="G762" s="433"/>
      <c r="H762" s="433"/>
      <c r="I762" s="433"/>
      <c r="J762" s="267"/>
      <c r="K762" s="267"/>
      <c r="L762" s="267"/>
      <c r="M762" s="179" t="s">
        <v>44</v>
      </c>
      <c r="N762" s="172">
        <f t="shared" si="7"/>
        <v>0</v>
      </c>
      <c r="O762" s="172">
        <f t="shared" si="7"/>
        <v>0</v>
      </c>
      <c r="P762" s="425"/>
      <c r="Q762" s="425"/>
      <c r="R762" s="174"/>
      <c r="S762" s="406"/>
    </row>
    <row r="763" spans="1:19" s="181" customFormat="1" ht="10.199999999999999" x14ac:dyDescent="0.2">
      <c r="A763" s="435"/>
      <c r="B763" s="433"/>
      <c r="C763" s="433"/>
      <c r="D763" s="433"/>
      <c r="E763" s="433"/>
      <c r="F763" s="433"/>
      <c r="G763" s="433"/>
      <c r="H763" s="433"/>
      <c r="I763" s="433"/>
      <c r="J763" s="267"/>
      <c r="K763" s="267"/>
      <c r="L763" s="267"/>
      <c r="M763" s="179" t="s">
        <v>45</v>
      </c>
      <c r="N763" s="172">
        <f t="shared" si="7"/>
        <v>279863.01</v>
      </c>
      <c r="O763" s="172">
        <f t="shared" si="7"/>
        <v>503.42</v>
      </c>
      <c r="P763" s="425"/>
      <c r="Q763" s="425"/>
      <c r="R763" s="174"/>
      <c r="S763" s="406"/>
    </row>
    <row r="764" spans="1:19" s="181" customFormat="1" ht="10.199999999999999" x14ac:dyDescent="0.2">
      <c r="A764" s="435"/>
      <c r="B764" s="433"/>
      <c r="C764" s="433"/>
      <c r="D764" s="433"/>
      <c r="E764" s="433"/>
      <c r="F764" s="433"/>
      <c r="G764" s="433"/>
      <c r="H764" s="433"/>
      <c r="I764" s="433"/>
      <c r="J764" s="267"/>
      <c r="K764" s="267"/>
      <c r="L764" s="267"/>
      <c r="M764" s="179" t="s">
        <v>46</v>
      </c>
      <c r="N764" s="172">
        <f t="shared" si="7"/>
        <v>6520.59</v>
      </c>
      <c r="O764" s="172">
        <f t="shared" si="7"/>
        <v>147.32</v>
      </c>
      <c r="P764" s="425"/>
      <c r="Q764" s="425"/>
      <c r="R764" s="174"/>
      <c r="S764" s="406"/>
    </row>
    <row r="765" spans="1:19" s="181" customFormat="1" ht="10.199999999999999" x14ac:dyDescent="0.2">
      <c r="A765" s="435"/>
      <c r="B765" s="433"/>
      <c r="C765" s="433"/>
      <c r="D765" s="433"/>
      <c r="E765" s="433"/>
      <c r="F765" s="433"/>
      <c r="G765" s="433"/>
      <c r="H765" s="433"/>
      <c r="I765" s="433"/>
      <c r="J765" s="267"/>
      <c r="K765" s="267"/>
      <c r="L765" s="267"/>
      <c r="M765" s="174" t="s">
        <v>1245</v>
      </c>
      <c r="N765" s="172">
        <f>N614+N624+N632+N638+N650+N656+N662+N668+N674+N758</f>
        <v>11029.7</v>
      </c>
      <c r="O765" s="172">
        <f>O614+O624+O632+O638+O650+O656+O662+O668+O674+O758</f>
        <v>3047.5700000000006</v>
      </c>
      <c r="P765" s="425"/>
      <c r="Q765" s="425"/>
      <c r="R765" s="174"/>
      <c r="S765" s="406"/>
    </row>
    <row r="766" spans="1:19" s="394" customFormat="1" ht="15.6" x14ac:dyDescent="0.3">
      <c r="A766" s="274" t="s">
        <v>1086</v>
      </c>
      <c r="B766" s="274"/>
      <c r="C766" s="274"/>
      <c r="D766" s="274"/>
      <c r="E766" s="274"/>
      <c r="F766" s="274"/>
      <c r="G766" s="274"/>
      <c r="H766" s="274"/>
      <c r="I766" s="274"/>
      <c r="J766" s="274"/>
      <c r="K766" s="274"/>
      <c r="L766" s="274"/>
      <c r="M766" s="274"/>
      <c r="N766" s="274"/>
      <c r="O766" s="274"/>
      <c r="P766" s="274"/>
      <c r="Q766" s="282"/>
      <c r="R766" s="408"/>
      <c r="S766" s="409"/>
    </row>
    <row r="767" spans="1:19" s="181" customFormat="1" ht="10.199999999999999" x14ac:dyDescent="0.2">
      <c r="A767" s="237">
        <v>122</v>
      </c>
      <c r="B767" s="259">
        <v>42983</v>
      </c>
      <c r="C767" s="259">
        <v>44808</v>
      </c>
      <c r="D767" s="236" t="s">
        <v>160</v>
      </c>
      <c r="E767" s="236" t="s">
        <v>958</v>
      </c>
      <c r="F767" s="236" t="s">
        <v>957</v>
      </c>
      <c r="G767" s="236" t="s">
        <v>161</v>
      </c>
      <c r="H767" s="236" t="s">
        <v>1087</v>
      </c>
      <c r="I767" s="236" t="s">
        <v>165</v>
      </c>
      <c r="J767" s="236">
        <v>45.1</v>
      </c>
      <c r="K767" s="238">
        <f>S767*9</f>
        <v>8286.854400000002</v>
      </c>
      <c r="L767" s="238">
        <f>S767*3</f>
        <v>2762.2848000000008</v>
      </c>
      <c r="M767" s="199" t="s">
        <v>42</v>
      </c>
      <c r="N767" s="241" t="s">
        <v>1142</v>
      </c>
      <c r="O767" s="251"/>
      <c r="P767" s="236" t="s">
        <v>161</v>
      </c>
      <c r="Q767" s="244"/>
      <c r="R767" s="174"/>
      <c r="S767" s="245">
        <f>14.5*J767*1.1*(1+0.1+0.5)*0.8</f>
        <v>920.76160000000027</v>
      </c>
    </row>
    <row r="768" spans="1:19" s="181" customFormat="1" ht="20.399999999999999" x14ac:dyDescent="0.2">
      <c r="A768" s="237"/>
      <c r="B768" s="251"/>
      <c r="C768" s="257"/>
      <c r="D768" s="257"/>
      <c r="E768" s="236"/>
      <c r="F768" s="251"/>
      <c r="G768" s="251"/>
      <c r="H768" s="251"/>
      <c r="I768" s="257"/>
      <c r="J768" s="257"/>
      <c r="K768" s="239"/>
      <c r="L768" s="239"/>
      <c r="M768" s="199" t="s">
        <v>43</v>
      </c>
      <c r="N768" s="251"/>
      <c r="O768" s="251"/>
      <c r="P768" s="251"/>
      <c r="Q768" s="257"/>
      <c r="R768" s="174"/>
      <c r="S768" s="258"/>
    </row>
    <row r="769" spans="1:19" s="181" customFormat="1" ht="10.199999999999999" x14ac:dyDescent="0.2">
      <c r="A769" s="237"/>
      <c r="B769" s="251"/>
      <c r="C769" s="257"/>
      <c r="D769" s="257"/>
      <c r="E769" s="257"/>
      <c r="F769" s="251"/>
      <c r="G769" s="251"/>
      <c r="H769" s="251"/>
      <c r="I769" s="257"/>
      <c r="J769" s="257"/>
      <c r="K769" s="239"/>
      <c r="L769" s="239"/>
      <c r="M769" s="199" t="s">
        <v>44</v>
      </c>
      <c r="N769" s="251"/>
      <c r="O769" s="251"/>
      <c r="P769" s="251"/>
      <c r="Q769" s="257"/>
      <c r="R769" s="174"/>
      <c r="S769" s="258"/>
    </row>
    <row r="770" spans="1:19" s="181" customFormat="1" ht="10.199999999999999" x14ac:dyDescent="0.2">
      <c r="A770" s="237"/>
      <c r="B770" s="251"/>
      <c r="C770" s="257"/>
      <c r="D770" s="257"/>
      <c r="E770" s="257"/>
      <c r="F770" s="251"/>
      <c r="G770" s="251"/>
      <c r="H770" s="251"/>
      <c r="I770" s="257"/>
      <c r="J770" s="257"/>
      <c r="K770" s="239"/>
      <c r="L770" s="239"/>
      <c r="M770" s="199" t="s">
        <v>45</v>
      </c>
      <c r="N770" s="251"/>
      <c r="O770" s="251"/>
      <c r="P770" s="251"/>
      <c r="Q770" s="257"/>
      <c r="R770" s="174"/>
      <c r="S770" s="258"/>
    </row>
    <row r="771" spans="1:19" s="181" customFormat="1" ht="10.199999999999999" x14ac:dyDescent="0.2">
      <c r="A771" s="237"/>
      <c r="B771" s="251"/>
      <c r="C771" s="257"/>
      <c r="D771" s="257"/>
      <c r="E771" s="257"/>
      <c r="F771" s="251"/>
      <c r="G771" s="251"/>
      <c r="H771" s="251"/>
      <c r="I771" s="257"/>
      <c r="J771" s="257"/>
      <c r="K771" s="239"/>
      <c r="L771" s="239"/>
      <c r="M771" s="199" t="s">
        <v>46</v>
      </c>
      <c r="N771" s="251"/>
      <c r="O771" s="251"/>
      <c r="P771" s="251"/>
      <c r="Q771" s="257"/>
      <c r="R771" s="174"/>
      <c r="S771" s="258"/>
    </row>
    <row r="772" spans="1:19" s="181" customFormat="1" ht="10.199999999999999" x14ac:dyDescent="0.2">
      <c r="A772" s="237"/>
      <c r="B772" s="251"/>
      <c r="C772" s="257"/>
      <c r="D772" s="257"/>
      <c r="E772" s="257"/>
      <c r="F772" s="251"/>
      <c r="G772" s="251"/>
      <c r="H772" s="251"/>
      <c r="I772" s="257"/>
      <c r="J772" s="257"/>
      <c r="K772" s="239"/>
      <c r="L772" s="239"/>
      <c r="M772" s="182" t="s">
        <v>1245</v>
      </c>
      <c r="N772" s="186">
        <v>76.209999999999994</v>
      </c>
      <c r="O772" s="186">
        <v>76.209999999999994</v>
      </c>
      <c r="P772" s="251"/>
      <c r="Q772" s="257"/>
      <c r="R772" s="174"/>
      <c r="S772" s="258"/>
    </row>
    <row r="773" spans="1:19" s="181" customFormat="1" ht="10.199999999999999" x14ac:dyDescent="0.2">
      <c r="A773" s="237">
        <f>A767+1</f>
        <v>123</v>
      </c>
      <c r="B773" s="236">
        <v>2011</v>
      </c>
      <c r="C773" s="236" t="s">
        <v>250</v>
      </c>
      <c r="D773" s="236"/>
      <c r="E773" s="236" t="s">
        <v>958</v>
      </c>
      <c r="F773" s="236" t="s">
        <v>957</v>
      </c>
      <c r="G773" s="236" t="s">
        <v>251</v>
      </c>
      <c r="H773" s="236" t="s">
        <v>1088</v>
      </c>
      <c r="I773" s="236" t="s">
        <v>255</v>
      </c>
      <c r="J773" s="236">
        <v>169.8</v>
      </c>
      <c r="K773" s="238">
        <f>S773*9</f>
        <v>27299.764800000012</v>
      </c>
      <c r="L773" s="238">
        <f>S773*3</f>
        <v>9099.9216000000033</v>
      </c>
      <c r="M773" s="199" t="s">
        <v>42</v>
      </c>
      <c r="N773" s="241" t="s">
        <v>1142</v>
      </c>
      <c r="O773" s="251"/>
      <c r="P773" s="266" t="s">
        <v>251</v>
      </c>
      <c r="Q773" s="244"/>
      <c r="R773" s="174"/>
      <c r="S773" s="245">
        <f>14.5*J773*1.1*(1+0.1+0.3)*0.8</f>
        <v>3033.3072000000011</v>
      </c>
    </row>
    <row r="774" spans="1:19" s="181" customFormat="1" ht="20.399999999999999" x14ac:dyDescent="0.2">
      <c r="A774" s="237"/>
      <c r="B774" s="257"/>
      <c r="C774" s="257"/>
      <c r="D774" s="257"/>
      <c r="E774" s="236"/>
      <c r="F774" s="251"/>
      <c r="G774" s="251"/>
      <c r="H774" s="257"/>
      <c r="I774" s="257"/>
      <c r="J774" s="257"/>
      <c r="K774" s="239"/>
      <c r="L774" s="239"/>
      <c r="M774" s="199" t="s">
        <v>43</v>
      </c>
      <c r="N774" s="251"/>
      <c r="O774" s="251"/>
      <c r="P774" s="257"/>
      <c r="Q774" s="257"/>
      <c r="R774" s="174"/>
      <c r="S774" s="258"/>
    </row>
    <row r="775" spans="1:19" s="181" customFormat="1" ht="10.199999999999999" x14ac:dyDescent="0.2">
      <c r="A775" s="237"/>
      <c r="B775" s="257"/>
      <c r="C775" s="257"/>
      <c r="D775" s="257"/>
      <c r="E775" s="257"/>
      <c r="F775" s="251"/>
      <c r="G775" s="251"/>
      <c r="H775" s="257"/>
      <c r="I775" s="257"/>
      <c r="J775" s="257"/>
      <c r="K775" s="239"/>
      <c r="L775" s="239"/>
      <c r="M775" s="199" t="s">
        <v>44</v>
      </c>
      <c r="N775" s="251"/>
      <c r="O775" s="251"/>
      <c r="P775" s="257"/>
      <c r="Q775" s="257"/>
      <c r="R775" s="174"/>
      <c r="S775" s="258"/>
    </row>
    <row r="776" spans="1:19" s="181" customFormat="1" ht="10.199999999999999" x14ac:dyDescent="0.2">
      <c r="A776" s="237"/>
      <c r="B776" s="257"/>
      <c r="C776" s="257"/>
      <c r="D776" s="257"/>
      <c r="E776" s="257"/>
      <c r="F776" s="251"/>
      <c r="G776" s="251"/>
      <c r="H776" s="257"/>
      <c r="I776" s="257"/>
      <c r="J776" s="257"/>
      <c r="K776" s="239"/>
      <c r="L776" s="239"/>
      <c r="M776" s="199" t="s">
        <v>45</v>
      </c>
      <c r="N776" s="251"/>
      <c r="O776" s="251"/>
      <c r="P776" s="257"/>
      <c r="Q776" s="257"/>
      <c r="R776" s="174"/>
      <c r="S776" s="258"/>
    </row>
    <row r="777" spans="1:19" s="181" customFormat="1" ht="10.199999999999999" x14ac:dyDescent="0.2">
      <c r="A777" s="237"/>
      <c r="B777" s="257"/>
      <c r="C777" s="257"/>
      <c r="D777" s="257"/>
      <c r="E777" s="257"/>
      <c r="F777" s="251"/>
      <c r="G777" s="251"/>
      <c r="H777" s="257"/>
      <c r="I777" s="257"/>
      <c r="J777" s="257"/>
      <c r="K777" s="239"/>
      <c r="L777" s="239"/>
      <c r="M777" s="199" t="s">
        <v>46</v>
      </c>
      <c r="N777" s="251"/>
      <c r="O777" s="251"/>
      <c r="P777" s="257"/>
      <c r="Q777" s="257"/>
      <c r="R777" s="174"/>
      <c r="S777" s="258"/>
    </row>
    <row r="778" spans="1:19" s="181" customFormat="1" ht="10.199999999999999" x14ac:dyDescent="0.2">
      <c r="A778" s="237"/>
      <c r="B778" s="257"/>
      <c r="C778" s="257"/>
      <c r="D778" s="257"/>
      <c r="E778" s="257"/>
      <c r="F778" s="251"/>
      <c r="G778" s="251"/>
      <c r="H778" s="257"/>
      <c r="I778" s="257"/>
      <c r="J778" s="257"/>
      <c r="K778" s="239"/>
      <c r="L778" s="239"/>
      <c r="M778" s="182" t="s">
        <v>1245</v>
      </c>
      <c r="N778" s="186">
        <v>0</v>
      </c>
      <c r="O778" s="186">
        <v>0</v>
      </c>
      <c r="P778" s="257"/>
      <c r="Q778" s="257"/>
      <c r="R778" s="174"/>
      <c r="S778" s="258"/>
    </row>
    <row r="779" spans="1:19" s="181" customFormat="1" ht="10.199999999999999" x14ac:dyDescent="0.2">
      <c r="A779" s="237">
        <f>A773+1</f>
        <v>124</v>
      </c>
      <c r="B779" s="259">
        <v>43332</v>
      </c>
      <c r="C779" s="259">
        <v>45157</v>
      </c>
      <c r="D779" s="236" t="s">
        <v>256</v>
      </c>
      <c r="E779" s="236" t="s">
        <v>958</v>
      </c>
      <c r="F779" s="236" t="s">
        <v>957</v>
      </c>
      <c r="G779" s="236" t="s">
        <v>251</v>
      </c>
      <c r="H779" s="236" t="s">
        <v>1089</v>
      </c>
      <c r="I779" s="236" t="s">
        <v>260</v>
      </c>
      <c r="J779" s="236">
        <v>113.4</v>
      </c>
      <c r="K779" s="238">
        <f>S779*9</f>
        <v>26045.712000000007</v>
      </c>
      <c r="L779" s="238">
        <f>S779*3</f>
        <v>8681.9040000000023</v>
      </c>
      <c r="M779" s="199" t="s">
        <v>42</v>
      </c>
      <c r="N779" s="241" t="s">
        <v>1142</v>
      </c>
      <c r="O779" s="251"/>
      <c r="P779" s="266" t="s">
        <v>251</v>
      </c>
      <c r="Q779" s="244"/>
      <c r="R779" s="174"/>
      <c r="S779" s="245">
        <f>14.5*J779*1.1*(1+0.1+0.9)*0.8</f>
        <v>2893.9680000000008</v>
      </c>
    </row>
    <row r="780" spans="1:19" s="181" customFormat="1" ht="20.399999999999999" x14ac:dyDescent="0.2">
      <c r="A780" s="237"/>
      <c r="B780" s="257"/>
      <c r="C780" s="257"/>
      <c r="D780" s="257"/>
      <c r="E780" s="236"/>
      <c r="F780" s="251"/>
      <c r="G780" s="251"/>
      <c r="H780" s="257"/>
      <c r="I780" s="257"/>
      <c r="J780" s="257"/>
      <c r="K780" s="239"/>
      <c r="L780" s="239"/>
      <c r="M780" s="199" t="s">
        <v>43</v>
      </c>
      <c r="N780" s="251"/>
      <c r="O780" s="251"/>
      <c r="P780" s="257"/>
      <c r="Q780" s="257"/>
      <c r="R780" s="174"/>
      <c r="S780" s="258"/>
    </row>
    <row r="781" spans="1:19" s="181" customFormat="1" ht="10.199999999999999" x14ac:dyDescent="0.2">
      <c r="A781" s="237"/>
      <c r="B781" s="257"/>
      <c r="C781" s="257"/>
      <c r="D781" s="257"/>
      <c r="E781" s="257"/>
      <c r="F781" s="251"/>
      <c r="G781" s="251"/>
      <c r="H781" s="257"/>
      <c r="I781" s="257"/>
      <c r="J781" s="257"/>
      <c r="K781" s="239"/>
      <c r="L781" s="239"/>
      <c r="M781" s="199" t="s">
        <v>44</v>
      </c>
      <c r="N781" s="251"/>
      <c r="O781" s="251"/>
      <c r="P781" s="257"/>
      <c r="Q781" s="257"/>
      <c r="R781" s="174"/>
      <c r="S781" s="258"/>
    </row>
    <row r="782" spans="1:19" s="181" customFormat="1" ht="10.199999999999999" x14ac:dyDescent="0.2">
      <c r="A782" s="237"/>
      <c r="B782" s="257"/>
      <c r="C782" s="257"/>
      <c r="D782" s="257"/>
      <c r="E782" s="257"/>
      <c r="F782" s="251"/>
      <c r="G782" s="251"/>
      <c r="H782" s="257"/>
      <c r="I782" s="257"/>
      <c r="J782" s="257"/>
      <c r="K782" s="239"/>
      <c r="L782" s="239"/>
      <c r="M782" s="199" t="s">
        <v>45</v>
      </c>
      <c r="N782" s="251"/>
      <c r="O782" s="251"/>
      <c r="P782" s="257"/>
      <c r="Q782" s="257"/>
      <c r="R782" s="174"/>
      <c r="S782" s="258"/>
    </row>
    <row r="783" spans="1:19" s="181" customFormat="1" ht="10.199999999999999" x14ac:dyDescent="0.2">
      <c r="A783" s="237"/>
      <c r="B783" s="257"/>
      <c r="C783" s="257"/>
      <c r="D783" s="257"/>
      <c r="E783" s="257"/>
      <c r="F783" s="251"/>
      <c r="G783" s="251"/>
      <c r="H783" s="257"/>
      <c r="I783" s="257"/>
      <c r="J783" s="257"/>
      <c r="K783" s="239"/>
      <c r="L783" s="239"/>
      <c r="M783" s="199" t="s">
        <v>46</v>
      </c>
      <c r="N783" s="251"/>
      <c r="O783" s="251"/>
      <c r="P783" s="257"/>
      <c r="Q783" s="257"/>
      <c r="R783" s="174"/>
      <c r="S783" s="258"/>
    </row>
    <row r="784" spans="1:19" s="392" customFormat="1" x14ac:dyDescent="0.3">
      <c r="A784" s="237"/>
      <c r="B784" s="257"/>
      <c r="C784" s="257"/>
      <c r="D784" s="257"/>
      <c r="E784" s="257"/>
      <c r="F784" s="251"/>
      <c r="G784" s="251"/>
      <c r="H784" s="257"/>
      <c r="I784" s="257"/>
      <c r="J784" s="257"/>
      <c r="K784" s="239"/>
      <c r="L784" s="239"/>
      <c r="M784" s="182" t="s">
        <v>1245</v>
      </c>
      <c r="N784" s="186">
        <v>1372.6</v>
      </c>
      <c r="O784" s="186">
        <v>201.8</v>
      </c>
      <c r="P784" s="257"/>
      <c r="Q784" s="257"/>
      <c r="R784" s="398"/>
      <c r="S784" s="258"/>
    </row>
    <row r="785" spans="1:19" s="181" customFormat="1" ht="10.199999999999999" x14ac:dyDescent="0.2">
      <c r="A785" s="237">
        <f>A779+1</f>
        <v>125</v>
      </c>
      <c r="B785" s="270">
        <v>44572</v>
      </c>
      <c r="C785" s="259">
        <v>46397</v>
      </c>
      <c r="D785" s="236" t="s">
        <v>1185</v>
      </c>
      <c r="E785" s="236" t="s">
        <v>958</v>
      </c>
      <c r="F785" s="236" t="s">
        <v>957</v>
      </c>
      <c r="G785" s="266" t="s">
        <v>251</v>
      </c>
      <c r="H785" s="236" t="s">
        <v>1090</v>
      </c>
      <c r="I785" s="236" t="s">
        <v>287</v>
      </c>
      <c r="J785" s="236">
        <v>17.5</v>
      </c>
      <c r="K785" s="238">
        <f>S785*9</f>
        <v>2813.5800000000004</v>
      </c>
      <c r="L785" s="238">
        <f>S785*3</f>
        <v>937.86000000000013</v>
      </c>
      <c r="M785" s="199" t="s">
        <v>42</v>
      </c>
      <c r="N785" s="241" t="s">
        <v>1142</v>
      </c>
      <c r="O785" s="236"/>
      <c r="P785" s="266" t="s">
        <v>251</v>
      </c>
      <c r="Q785" s="244"/>
      <c r="R785" s="174"/>
      <c r="S785" s="245">
        <f>14.5*J785*1.1*(1+0.1+0.3)*0.8</f>
        <v>312.62000000000006</v>
      </c>
    </row>
    <row r="786" spans="1:19" s="181" customFormat="1" ht="20.399999999999999" x14ac:dyDescent="0.2">
      <c r="A786" s="237"/>
      <c r="B786" s="244"/>
      <c r="C786" s="244"/>
      <c r="D786" s="244"/>
      <c r="E786" s="236"/>
      <c r="F786" s="236"/>
      <c r="G786" s="244"/>
      <c r="H786" s="244"/>
      <c r="I786" s="244"/>
      <c r="J786" s="244"/>
      <c r="K786" s="238"/>
      <c r="L786" s="238"/>
      <c r="M786" s="199" t="s">
        <v>43</v>
      </c>
      <c r="N786" s="236"/>
      <c r="O786" s="236"/>
      <c r="P786" s="244"/>
      <c r="Q786" s="244"/>
      <c r="R786" s="174"/>
      <c r="S786" s="249"/>
    </row>
    <row r="787" spans="1:19" s="181" customFormat="1" ht="10.199999999999999" x14ac:dyDescent="0.2">
      <c r="A787" s="237"/>
      <c r="B787" s="244"/>
      <c r="C787" s="244"/>
      <c r="D787" s="244"/>
      <c r="E787" s="244"/>
      <c r="F787" s="236"/>
      <c r="G787" s="244"/>
      <c r="H787" s="244"/>
      <c r="I787" s="244"/>
      <c r="J787" s="244"/>
      <c r="K787" s="238"/>
      <c r="L787" s="238"/>
      <c r="M787" s="199" t="s">
        <v>44</v>
      </c>
      <c r="N787" s="236"/>
      <c r="O787" s="236"/>
      <c r="P787" s="244"/>
      <c r="Q787" s="244"/>
      <c r="R787" s="174"/>
      <c r="S787" s="249"/>
    </row>
    <row r="788" spans="1:19" s="181" customFormat="1" ht="10.199999999999999" x14ac:dyDescent="0.2">
      <c r="A788" s="237"/>
      <c r="B788" s="244"/>
      <c r="C788" s="244"/>
      <c r="D788" s="244"/>
      <c r="E788" s="244"/>
      <c r="F788" s="236"/>
      <c r="G788" s="244"/>
      <c r="H788" s="244"/>
      <c r="I788" s="244"/>
      <c r="J788" s="244"/>
      <c r="K788" s="238"/>
      <c r="L788" s="238"/>
      <c r="M788" s="199" t="s">
        <v>45</v>
      </c>
      <c r="N788" s="236"/>
      <c r="O788" s="236"/>
      <c r="P788" s="244"/>
      <c r="Q788" s="244"/>
      <c r="R788" s="174"/>
      <c r="S788" s="249"/>
    </row>
    <row r="789" spans="1:19" s="181" customFormat="1" ht="10.199999999999999" x14ac:dyDescent="0.2">
      <c r="A789" s="237"/>
      <c r="B789" s="244"/>
      <c r="C789" s="244"/>
      <c r="D789" s="244"/>
      <c r="E789" s="244"/>
      <c r="F789" s="236"/>
      <c r="G789" s="244"/>
      <c r="H789" s="244"/>
      <c r="I789" s="244"/>
      <c r="J789" s="244"/>
      <c r="K789" s="238"/>
      <c r="L789" s="238"/>
      <c r="M789" s="199" t="s">
        <v>46</v>
      </c>
      <c r="N789" s="236"/>
      <c r="O789" s="236"/>
      <c r="P789" s="244"/>
      <c r="Q789" s="244"/>
      <c r="R789" s="174"/>
      <c r="S789" s="249"/>
    </row>
    <row r="790" spans="1:19" s="181" customFormat="1" ht="10.199999999999999" x14ac:dyDescent="0.2">
      <c r="A790" s="237"/>
      <c r="B790" s="244"/>
      <c r="C790" s="244"/>
      <c r="D790" s="244"/>
      <c r="E790" s="244"/>
      <c r="F790" s="236"/>
      <c r="G790" s="244"/>
      <c r="H790" s="244"/>
      <c r="I790" s="244"/>
      <c r="J790" s="244"/>
      <c r="K790" s="238"/>
      <c r="L790" s="238"/>
      <c r="M790" s="182" t="s">
        <v>1245</v>
      </c>
      <c r="N790" s="186">
        <v>246.3</v>
      </c>
      <c r="O790" s="186">
        <v>35.19</v>
      </c>
      <c r="P790" s="244"/>
      <c r="Q790" s="244"/>
      <c r="R790" s="174"/>
      <c r="S790" s="249"/>
    </row>
    <row r="791" spans="1:19" s="181" customFormat="1" ht="10.199999999999999" x14ac:dyDescent="0.2">
      <c r="A791" s="237">
        <f>A785+1</f>
        <v>126</v>
      </c>
      <c r="B791" s="270">
        <v>44572</v>
      </c>
      <c r="C791" s="259">
        <v>46397</v>
      </c>
      <c r="D791" s="236" t="s">
        <v>1183</v>
      </c>
      <c r="E791" s="236" t="s">
        <v>958</v>
      </c>
      <c r="F791" s="236" t="s">
        <v>957</v>
      </c>
      <c r="G791" s="266" t="s">
        <v>251</v>
      </c>
      <c r="H791" s="236" t="s">
        <v>1091</v>
      </c>
      <c r="I791" s="236" t="s">
        <v>287</v>
      </c>
      <c r="J791" s="236">
        <v>29.1</v>
      </c>
      <c r="K791" s="238">
        <f>S791*9</f>
        <v>5103.9072000000006</v>
      </c>
      <c r="L791" s="238">
        <f>S791*3</f>
        <v>1701.3024</v>
      </c>
      <c r="M791" s="199" t="s">
        <v>42</v>
      </c>
      <c r="N791" s="241" t="s">
        <v>1184</v>
      </c>
      <c r="O791" s="236"/>
      <c r="P791" s="266" t="s">
        <v>251</v>
      </c>
      <c r="Q791" s="244"/>
      <c r="R791" s="174"/>
      <c r="S791" s="245">
        <f>14.5*J791*1.2*(1+0.1+0.3)*0.8</f>
        <v>567.10080000000005</v>
      </c>
    </row>
    <row r="792" spans="1:19" s="181" customFormat="1" ht="20.399999999999999" x14ac:dyDescent="0.2">
      <c r="A792" s="237"/>
      <c r="B792" s="244"/>
      <c r="C792" s="244"/>
      <c r="D792" s="244"/>
      <c r="E792" s="236"/>
      <c r="F792" s="236"/>
      <c r="G792" s="244"/>
      <c r="H792" s="244"/>
      <c r="I792" s="244"/>
      <c r="J792" s="244"/>
      <c r="K792" s="238"/>
      <c r="L792" s="238"/>
      <c r="M792" s="199" t="s">
        <v>43</v>
      </c>
      <c r="N792" s="236"/>
      <c r="O792" s="236"/>
      <c r="P792" s="244"/>
      <c r="Q792" s="244"/>
      <c r="R792" s="174"/>
      <c r="S792" s="249"/>
    </row>
    <row r="793" spans="1:19" s="181" customFormat="1" ht="10.199999999999999" x14ac:dyDescent="0.2">
      <c r="A793" s="237"/>
      <c r="B793" s="244"/>
      <c r="C793" s="244"/>
      <c r="D793" s="244"/>
      <c r="E793" s="244"/>
      <c r="F793" s="236"/>
      <c r="G793" s="244"/>
      <c r="H793" s="244"/>
      <c r="I793" s="244"/>
      <c r="J793" s="244"/>
      <c r="K793" s="238"/>
      <c r="L793" s="238"/>
      <c r="M793" s="199" t="s">
        <v>44</v>
      </c>
      <c r="N793" s="236"/>
      <c r="O793" s="236"/>
      <c r="P793" s="244"/>
      <c r="Q793" s="244"/>
      <c r="R793" s="174"/>
      <c r="S793" s="249"/>
    </row>
    <row r="794" spans="1:19" s="181" customFormat="1" ht="10.199999999999999" x14ac:dyDescent="0.2">
      <c r="A794" s="237"/>
      <c r="B794" s="244"/>
      <c r="C794" s="244"/>
      <c r="D794" s="244"/>
      <c r="E794" s="244"/>
      <c r="F794" s="236"/>
      <c r="G794" s="244"/>
      <c r="H794" s="244"/>
      <c r="I794" s="244"/>
      <c r="J794" s="244"/>
      <c r="K794" s="238"/>
      <c r="L794" s="238"/>
      <c r="M794" s="199" t="s">
        <v>45</v>
      </c>
      <c r="N794" s="236"/>
      <c r="O794" s="236"/>
      <c r="P794" s="244"/>
      <c r="Q794" s="244"/>
      <c r="R794" s="174"/>
      <c r="S794" s="249"/>
    </row>
    <row r="795" spans="1:19" s="181" customFormat="1" ht="10.199999999999999" x14ac:dyDescent="0.2">
      <c r="A795" s="237"/>
      <c r="B795" s="244"/>
      <c r="C795" s="244"/>
      <c r="D795" s="244"/>
      <c r="E795" s="244"/>
      <c r="F795" s="236"/>
      <c r="G795" s="244"/>
      <c r="H795" s="244"/>
      <c r="I795" s="244"/>
      <c r="J795" s="244"/>
      <c r="K795" s="238"/>
      <c r="L795" s="238"/>
      <c r="M795" s="199" t="s">
        <v>46</v>
      </c>
      <c r="N795" s="236"/>
      <c r="O795" s="236"/>
      <c r="P795" s="244"/>
      <c r="Q795" s="244"/>
      <c r="R795" s="174"/>
      <c r="S795" s="249"/>
    </row>
    <row r="796" spans="1:19" s="181" customFormat="1" ht="10.199999999999999" x14ac:dyDescent="0.2">
      <c r="A796" s="237"/>
      <c r="B796" s="244"/>
      <c r="C796" s="244"/>
      <c r="D796" s="244"/>
      <c r="E796" s="244"/>
      <c r="F796" s="236"/>
      <c r="G796" s="244"/>
      <c r="H796" s="244"/>
      <c r="I796" s="244"/>
      <c r="J796" s="244"/>
      <c r="K796" s="238"/>
      <c r="L796" s="238"/>
      <c r="M796" s="182" t="s">
        <v>1245</v>
      </c>
      <c r="N796" s="186">
        <v>389.8</v>
      </c>
      <c r="O796" s="186">
        <v>50.56</v>
      </c>
      <c r="P796" s="244"/>
      <c r="Q796" s="244"/>
      <c r="R796" s="174"/>
      <c r="S796" s="249"/>
    </row>
    <row r="797" spans="1:19" s="181" customFormat="1" ht="10.199999999999999" x14ac:dyDescent="0.2">
      <c r="A797" s="237">
        <f>A791+1</f>
        <v>127</v>
      </c>
      <c r="B797" s="243">
        <v>43616</v>
      </c>
      <c r="C797" s="259">
        <v>45442</v>
      </c>
      <c r="D797" s="247" t="s">
        <v>310</v>
      </c>
      <c r="E797" s="236" t="s">
        <v>958</v>
      </c>
      <c r="F797" s="236" t="s">
        <v>957</v>
      </c>
      <c r="G797" s="247" t="s">
        <v>311</v>
      </c>
      <c r="H797" s="247" t="s">
        <v>1092</v>
      </c>
      <c r="I797" s="236" t="s">
        <v>315</v>
      </c>
      <c r="J797" s="248">
        <v>50.7</v>
      </c>
      <c r="K797" s="238">
        <f>S797*9</f>
        <v>12703.392000000003</v>
      </c>
      <c r="L797" s="238">
        <f>S797*3</f>
        <v>4234.4640000000009</v>
      </c>
      <c r="M797" s="199" t="s">
        <v>42</v>
      </c>
      <c r="N797" s="188">
        <v>0</v>
      </c>
      <c r="O797" s="188">
        <v>0</v>
      </c>
      <c r="P797" s="247" t="s">
        <v>311</v>
      </c>
      <c r="Q797" s="244"/>
      <c r="R797" s="174"/>
      <c r="S797" s="245">
        <f>14.5*J797*1.2*(1+0.1+0.9)*0.8</f>
        <v>1411.4880000000003</v>
      </c>
    </row>
    <row r="798" spans="1:19" s="181" customFormat="1" ht="20.399999999999999" x14ac:dyDescent="0.2">
      <c r="A798" s="237"/>
      <c r="B798" s="257"/>
      <c r="C798" s="257"/>
      <c r="D798" s="257"/>
      <c r="E798" s="236"/>
      <c r="F798" s="251"/>
      <c r="G798" s="257"/>
      <c r="H798" s="257"/>
      <c r="I798" s="257"/>
      <c r="J798" s="257"/>
      <c r="K798" s="239"/>
      <c r="L798" s="239"/>
      <c r="M798" s="199" t="s">
        <v>43</v>
      </c>
      <c r="N798" s="188">
        <v>0</v>
      </c>
      <c r="O798" s="188">
        <v>0</v>
      </c>
      <c r="P798" s="257"/>
      <c r="Q798" s="257"/>
      <c r="R798" s="174"/>
      <c r="S798" s="258"/>
    </row>
    <row r="799" spans="1:19" s="181" customFormat="1" ht="10.199999999999999" x14ac:dyDescent="0.2">
      <c r="A799" s="237"/>
      <c r="B799" s="257"/>
      <c r="C799" s="257"/>
      <c r="D799" s="257"/>
      <c r="E799" s="257"/>
      <c r="F799" s="251"/>
      <c r="G799" s="257"/>
      <c r="H799" s="257"/>
      <c r="I799" s="257"/>
      <c r="J799" s="257"/>
      <c r="K799" s="239"/>
      <c r="L799" s="239"/>
      <c r="M799" s="199" t="s">
        <v>44</v>
      </c>
      <c r="N799" s="188">
        <v>0</v>
      </c>
      <c r="O799" s="188">
        <v>0</v>
      </c>
      <c r="P799" s="257"/>
      <c r="Q799" s="257"/>
      <c r="R799" s="174"/>
      <c r="S799" s="258"/>
    </row>
    <row r="800" spans="1:19" s="181" customFormat="1" ht="10.199999999999999" x14ac:dyDescent="0.2">
      <c r="A800" s="237"/>
      <c r="B800" s="257"/>
      <c r="C800" s="257"/>
      <c r="D800" s="257"/>
      <c r="E800" s="257"/>
      <c r="F800" s="251"/>
      <c r="G800" s="257"/>
      <c r="H800" s="257"/>
      <c r="I800" s="257"/>
      <c r="J800" s="257"/>
      <c r="K800" s="239"/>
      <c r="L800" s="239"/>
      <c r="M800" s="199" t="s">
        <v>45</v>
      </c>
      <c r="N800" s="188">
        <v>0</v>
      </c>
      <c r="O800" s="188">
        <v>0</v>
      </c>
      <c r="P800" s="257"/>
      <c r="Q800" s="257"/>
      <c r="R800" s="174"/>
      <c r="S800" s="258"/>
    </row>
    <row r="801" spans="1:19" s="181" customFormat="1" ht="10.199999999999999" x14ac:dyDescent="0.2">
      <c r="A801" s="237"/>
      <c r="B801" s="257"/>
      <c r="C801" s="257"/>
      <c r="D801" s="257"/>
      <c r="E801" s="257"/>
      <c r="F801" s="251"/>
      <c r="G801" s="257"/>
      <c r="H801" s="257"/>
      <c r="I801" s="257"/>
      <c r="J801" s="257"/>
      <c r="K801" s="239"/>
      <c r="L801" s="239"/>
      <c r="M801" s="199" t="s">
        <v>46</v>
      </c>
      <c r="N801" s="188">
        <v>0</v>
      </c>
      <c r="O801" s="188">
        <v>0</v>
      </c>
      <c r="P801" s="257"/>
      <c r="Q801" s="257"/>
      <c r="R801" s="174"/>
      <c r="S801" s="258"/>
    </row>
    <row r="802" spans="1:19" s="181" customFormat="1" ht="10.199999999999999" x14ac:dyDescent="0.2">
      <c r="A802" s="237"/>
      <c r="B802" s="257"/>
      <c r="C802" s="257"/>
      <c r="D802" s="257"/>
      <c r="E802" s="257"/>
      <c r="F802" s="251"/>
      <c r="G802" s="257"/>
      <c r="H802" s="257"/>
      <c r="I802" s="257"/>
      <c r="J802" s="257"/>
      <c r="K802" s="239"/>
      <c r="L802" s="239"/>
      <c r="M802" s="182" t="s">
        <v>1245</v>
      </c>
      <c r="N802" s="189">
        <v>86.69</v>
      </c>
      <c r="O802" s="189">
        <v>86.69</v>
      </c>
      <c r="P802" s="257"/>
      <c r="Q802" s="257"/>
      <c r="R802" s="174"/>
      <c r="S802" s="258"/>
    </row>
    <row r="803" spans="1:19" s="181" customFormat="1" ht="10.199999999999999" x14ac:dyDescent="0.2">
      <c r="A803" s="237">
        <f>A797+1</f>
        <v>128</v>
      </c>
      <c r="B803" s="259">
        <v>43760</v>
      </c>
      <c r="C803" s="259">
        <v>44855</v>
      </c>
      <c r="D803" s="236" t="s">
        <v>322</v>
      </c>
      <c r="E803" s="236" t="s">
        <v>958</v>
      </c>
      <c r="F803" s="236" t="s">
        <v>957</v>
      </c>
      <c r="G803" s="236" t="s">
        <v>251</v>
      </c>
      <c r="H803" s="236" t="s">
        <v>1093</v>
      </c>
      <c r="I803" s="236" t="s">
        <v>327</v>
      </c>
      <c r="J803" s="236">
        <v>63.1</v>
      </c>
      <c r="K803" s="238">
        <f>S803*9</f>
        <v>9420.325200000003</v>
      </c>
      <c r="L803" s="238">
        <f>S803*3</f>
        <v>3140.108400000001</v>
      </c>
      <c r="M803" s="199" t="s">
        <v>42</v>
      </c>
      <c r="N803" s="241" t="s">
        <v>1142</v>
      </c>
      <c r="O803" s="236"/>
      <c r="P803" s="236" t="s">
        <v>251</v>
      </c>
      <c r="Q803" s="244"/>
      <c r="R803" s="174"/>
      <c r="S803" s="245">
        <f>14.5*J803*1.1*(1+0.1+0.2)*0.8</f>
        <v>1046.7028000000003</v>
      </c>
    </row>
    <row r="804" spans="1:19" s="181" customFormat="1" ht="20.399999999999999" x14ac:dyDescent="0.2">
      <c r="A804" s="237"/>
      <c r="B804" s="244"/>
      <c r="C804" s="244"/>
      <c r="D804" s="244"/>
      <c r="E804" s="236"/>
      <c r="F804" s="236"/>
      <c r="G804" s="244"/>
      <c r="H804" s="244"/>
      <c r="I804" s="244"/>
      <c r="J804" s="244"/>
      <c r="K804" s="238"/>
      <c r="L804" s="238"/>
      <c r="M804" s="199" t="s">
        <v>43</v>
      </c>
      <c r="N804" s="236"/>
      <c r="O804" s="236"/>
      <c r="P804" s="244"/>
      <c r="Q804" s="244"/>
      <c r="R804" s="174"/>
      <c r="S804" s="249"/>
    </row>
    <row r="805" spans="1:19" s="181" customFormat="1" ht="10.199999999999999" x14ac:dyDescent="0.2">
      <c r="A805" s="237"/>
      <c r="B805" s="244"/>
      <c r="C805" s="244"/>
      <c r="D805" s="244"/>
      <c r="E805" s="244"/>
      <c r="F805" s="236"/>
      <c r="G805" s="244"/>
      <c r="H805" s="244"/>
      <c r="I805" s="244"/>
      <c r="J805" s="244"/>
      <c r="K805" s="238"/>
      <c r="L805" s="238"/>
      <c r="M805" s="199" t="s">
        <v>44</v>
      </c>
      <c r="N805" s="236"/>
      <c r="O805" s="236"/>
      <c r="P805" s="244"/>
      <c r="Q805" s="244"/>
      <c r="R805" s="174"/>
      <c r="S805" s="249"/>
    </row>
    <row r="806" spans="1:19" s="181" customFormat="1" ht="10.199999999999999" x14ac:dyDescent="0.2">
      <c r="A806" s="237"/>
      <c r="B806" s="244"/>
      <c r="C806" s="244"/>
      <c r="D806" s="244"/>
      <c r="E806" s="244"/>
      <c r="F806" s="236"/>
      <c r="G806" s="244"/>
      <c r="H806" s="244"/>
      <c r="I806" s="244"/>
      <c r="J806" s="244"/>
      <c r="K806" s="238"/>
      <c r="L806" s="238"/>
      <c r="M806" s="199" t="s">
        <v>45</v>
      </c>
      <c r="N806" s="236"/>
      <c r="O806" s="236"/>
      <c r="P806" s="244"/>
      <c r="Q806" s="244"/>
      <c r="R806" s="174"/>
      <c r="S806" s="249"/>
    </row>
    <row r="807" spans="1:19" s="181" customFormat="1" ht="10.199999999999999" x14ac:dyDescent="0.2">
      <c r="A807" s="237"/>
      <c r="B807" s="244"/>
      <c r="C807" s="244"/>
      <c r="D807" s="244"/>
      <c r="E807" s="244"/>
      <c r="F807" s="236"/>
      <c r="G807" s="244"/>
      <c r="H807" s="244"/>
      <c r="I807" s="244"/>
      <c r="J807" s="244"/>
      <c r="K807" s="238"/>
      <c r="L807" s="238"/>
      <c r="M807" s="199" t="s">
        <v>46</v>
      </c>
      <c r="N807" s="236"/>
      <c r="O807" s="236"/>
      <c r="P807" s="244"/>
      <c r="Q807" s="244"/>
      <c r="R807" s="174"/>
      <c r="S807" s="249"/>
    </row>
    <row r="808" spans="1:19" s="181" customFormat="1" ht="10.199999999999999" x14ac:dyDescent="0.2">
      <c r="A808" s="237"/>
      <c r="B808" s="244"/>
      <c r="C808" s="244"/>
      <c r="D808" s="244"/>
      <c r="E808" s="244"/>
      <c r="F808" s="236"/>
      <c r="G808" s="244"/>
      <c r="H808" s="244"/>
      <c r="I808" s="244"/>
      <c r="J808" s="244"/>
      <c r="K808" s="238"/>
      <c r="L808" s="238"/>
      <c r="M808" s="182" t="s">
        <v>1245</v>
      </c>
      <c r="N808" s="186">
        <v>763.7</v>
      </c>
      <c r="O808" s="186">
        <v>111.87</v>
      </c>
      <c r="P808" s="244"/>
      <c r="Q808" s="244"/>
      <c r="R808" s="174"/>
      <c r="S808" s="249"/>
    </row>
    <row r="809" spans="1:19" s="181" customFormat="1" ht="10.199999999999999" x14ac:dyDescent="0.2">
      <c r="A809" s="237">
        <f>A803+1</f>
        <v>129</v>
      </c>
      <c r="B809" s="243">
        <v>44816</v>
      </c>
      <c r="C809" s="243">
        <v>45838</v>
      </c>
      <c r="D809" s="247" t="s">
        <v>1238</v>
      </c>
      <c r="E809" s="247" t="s">
        <v>958</v>
      </c>
      <c r="F809" s="236" t="s">
        <v>957</v>
      </c>
      <c r="G809" s="247" t="s">
        <v>330</v>
      </c>
      <c r="H809" s="247" t="s">
        <v>1094</v>
      </c>
      <c r="I809" s="247" t="s">
        <v>333</v>
      </c>
      <c r="J809" s="250">
        <v>133.24</v>
      </c>
      <c r="K809" s="238">
        <f>(S809+S814)*9</f>
        <v>55298.675520000004</v>
      </c>
      <c r="L809" s="238">
        <f>(S809+S814)*3</f>
        <v>18432.891840000004</v>
      </c>
      <c r="M809" s="199" t="s">
        <v>42</v>
      </c>
      <c r="N809" s="180">
        <v>0</v>
      </c>
      <c r="O809" s="180">
        <v>0</v>
      </c>
      <c r="P809" s="247" t="s">
        <v>1169</v>
      </c>
      <c r="Q809" s="244"/>
      <c r="R809" s="174"/>
      <c r="S809" s="245">
        <f>14.5*J809*1.1*(1+0.1+1.1)*0.8</f>
        <v>3740.3132800000008</v>
      </c>
    </row>
    <row r="810" spans="1:19" s="181" customFormat="1" ht="20.399999999999999" x14ac:dyDescent="0.2">
      <c r="A810" s="237"/>
      <c r="B810" s="236"/>
      <c r="C810" s="236"/>
      <c r="D810" s="247"/>
      <c r="E810" s="236"/>
      <c r="F810" s="251"/>
      <c r="G810" s="247"/>
      <c r="H810" s="261"/>
      <c r="I810" s="247"/>
      <c r="J810" s="267"/>
      <c r="K810" s="239"/>
      <c r="L810" s="239"/>
      <c r="M810" s="199" t="s">
        <v>43</v>
      </c>
      <c r="N810" s="180">
        <v>0</v>
      </c>
      <c r="O810" s="180">
        <v>0</v>
      </c>
      <c r="P810" s="247"/>
      <c r="Q810" s="257"/>
      <c r="R810" s="174"/>
      <c r="S810" s="258"/>
    </row>
    <row r="811" spans="1:19" s="181" customFormat="1" ht="10.199999999999999" x14ac:dyDescent="0.2">
      <c r="A811" s="237"/>
      <c r="B811" s="236"/>
      <c r="C811" s="236"/>
      <c r="D811" s="247"/>
      <c r="E811" s="236"/>
      <c r="F811" s="251"/>
      <c r="G811" s="247"/>
      <c r="H811" s="261"/>
      <c r="I811" s="247"/>
      <c r="J811" s="251"/>
      <c r="K811" s="239"/>
      <c r="L811" s="239"/>
      <c r="M811" s="199" t="s">
        <v>44</v>
      </c>
      <c r="N811" s="180">
        <v>0</v>
      </c>
      <c r="O811" s="180">
        <v>0</v>
      </c>
      <c r="P811" s="247"/>
      <c r="Q811" s="257"/>
      <c r="R811" s="174"/>
      <c r="S811" s="174"/>
    </row>
    <row r="812" spans="1:19" s="181" customFormat="1" ht="10.199999999999999" x14ac:dyDescent="0.2">
      <c r="A812" s="237"/>
      <c r="B812" s="257"/>
      <c r="C812" s="257"/>
      <c r="D812" s="257"/>
      <c r="E812" s="257"/>
      <c r="F812" s="251"/>
      <c r="G812" s="257"/>
      <c r="H812" s="236" t="s">
        <v>1095</v>
      </c>
      <c r="I812" s="257"/>
      <c r="J812" s="250">
        <v>62.8</v>
      </c>
      <c r="K812" s="239"/>
      <c r="L812" s="239"/>
      <c r="M812" s="199" t="s">
        <v>45</v>
      </c>
      <c r="N812" s="180">
        <v>0</v>
      </c>
      <c r="O812" s="180">
        <v>0</v>
      </c>
      <c r="P812" s="244"/>
      <c r="Q812" s="257"/>
      <c r="R812" s="174"/>
      <c r="S812" s="174"/>
    </row>
    <row r="813" spans="1:19" s="181" customFormat="1" ht="10.199999999999999" x14ac:dyDescent="0.2">
      <c r="A813" s="237"/>
      <c r="B813" s="257"/>
      <c r="C813" s="257"/>
      <c r="D813" s="257"/>
      <c r="E813" s="257"/>
      <c r="F813" s="251"/>
      <c r="G813" s="257"/>
      <c r="H813" s="236"/>
      <c r="I813" s="257"/>
      <c r="J813" s="250"/>
      <c r="K813" s="239"/>
      <c r="L813" s="239"/>
      <c r="M813" s="199" t="s">
        <v>46</v>
      </c>
      <c r="N813" s="180">
        <v>0</v>
      </c>
      <c r="O813" s="180">
        <v>0</v>
      </c>
      <c r="P813" s="244"/>
      <c r="Q813" s="257"/>
      <c r="R813" s="174"/>
      <c r="S813" s="174"/>
    </row>
    <row r="814" spans="1:19" s="181" customFormat="1" ht="10.199999999999999" x14ac:dyDescent="0.2">
      <c r="A814" s="237"/>
      <c r="B814" s="257"/>
      <c r="C814" s="257"/>
      <c r="D814" s="257"/>
      <c r="E814" s="257"/>
      <c r="F814" s="251"/>
      <c r="G814" s="257"/>
      <c r="H814" s="236"/>
      <c r="I814" s="257"/>
      <c r="J814" s="251"/>
      <c r="K814" s="239"/>
      <c r="L814" s="239"/>
      <c r="M814" s="182" t="s">
        <v>1245</v>
      </c>
      <c r="N814" s="189">
        <v>355.96</v>
      </c>
      <c r="O814" s="189">
        <v>355.96</v>
      </c>
      <c r="P814" s="244"/>
      <c r="Q814" s="257"/>
      <c r="R814" s="174"/>
      <c r="S814" s="202">
        <f>14.5*J812*1*(1+1.2+1.1)*0.8</f>
        <v>2403.9839999999999</v>
      </c>
    </row>
    <row r="815" spans="1:19" s="181" customFormat="1" ht="10.199999999999999" x14ac:dyDescent="0.2">
      <c r="A815" s="237">
        <f>A809+1</f>
        <v>130</v>
      </c>
      <c r="B815" s="243">
        <v>43740</v>
      </c>
      <c r="C815" s="243">
        <v>45566</v>
      </c>
      <c r="D815" s="236" t="s">
        <v>343</v>
      </c>
      <c r="E815" s="247" t="s">
        <v>958</v>
      </c>
      <c r="F815" s="236" t="s">
        <v>957</v>
      </c>
      <c r="G815" s="247" t="s">
        <v>345</v>
      </c>
      <c r="H815" s="247" t="s">
        <v>1096</v>
      </c>
      <c r="I815" s="247" t="s">
        <v>1178</v>
      </c>
      <c r="J815" s="248">
        <v>112</v>
      </c>
      <c r="K815" s="250">
        <f>S815*9</f>
        <v>46303.488000000005</v>
      </c>
      <c r="L815" s="238">
        <f>S815*3</f>
        <v>15434.496000000001</v>
      </c>
      <c r="M815" s="199" t="s">
        <v>42</v>
      </c>
      <c r="N815" s="241" t="s">
        <v>1142</v>
      </c>
      <c r="O815" s="236"/>
      <c r="P815" s="247" t="s">
        <v>345</v>
      </c>
      <c r="Q815" s="244"/>
      <c r="R815" s="174"/>
      <c r="S815" s="245">
        <f>14.5*J815*1.2*(1+0.1+1.1)*1.2</f>
        <v>5144.8320000000003</v>
      </c>
    </row>
    <row r="816" spans="1:19" s="181" customFormat="1" ht="20.399999999999999" x14ac:dyDescent="0.2">
      <c r="A816" s="237"/>
      <c r="B816" s="244"/>
      <c r="C816" s="244"/>
      <c r="D816" s="244"/>
      <c r="E816" s="236"/>
      <c r="F816" s="236"/>
      <c r="G816" s="244"/>
      <c r="H816" s="244"/>
      <c r="I816" s="247"/>
      <c r="J816" s="244"/>
      <c r="K816" s="238"/>
      <c r="L816" s="238"/>
      <c r="M816" s="199" t="s">
        <v>43</v>
      </c>
      <c r="N816" s="236"/>
      <c r="O816" s="236"/>
      <c r="P816" s="244"/>
      <c r="Q816" s="244"/>
      <c r="R816" s="174"/>
      <c r="S816" s="249"/>
    </row>
    <row r="817" spans="1:19" s="181" customFormat="1" ht="10.199999999999999" x14ac:dyDescent="0.2">
      <c r="A817" s="237"/>
      <c r="B817" s="244"/>
      <c r="C817" s="244"/>
      <c r="D817" s="244"/>
      <c r="E817" s="236"/>
      <c r="F817" s="236"/>
      <c r="G817" s="244"/>
      <c r="H817" s="244"/>
      <c r="I817" s="247"/>
      <c r="J817" s="244"/>
      <c r="K817" s="238"/>
      <c r="L817" s="238"/>
      <c r="M817" s="199" t="s">
        <v>44</v>
      </c>
      <c r="N817" s="236"/>
      <c r="O817" s="236"/>
      <c r="P817" s="244"/>
      <c r="Q817" s="244"/>
      <c r="R817" s="174"/>
      <c r="S817" s="249"/>
    </row>
    <row r="818" spans="1:19" s="181" customFormat="1" ht="10.199999999999999" x14ac:dyDescent="0.2">
      <c r="A818" s="237"/>
      <c r="B818" s="244"/>
      <c r="C818" s="244"/>
      <c r="D818" s="244"/>
      <c r="E818" s="244"/>
      <c r="F818" s="236"/>
      <c r="G818" s="244"/>
      <c r="H818" s="244"/>
      <c r="I818" s="244"/>
      <c r="J818" s="244"/>
      <c r="K818" s="238"/>
      <c r="L818" s="238"/>
      <c r="M818" s="199" t="s">
        <v>45</v>
      </c>
      <c r="N818" s="236"/>
      <c r="O818" s="236"/>
      <c r="P818" s="244"/>
      <c r="Q818" s="244"/>
      <c r="R818" s="174"/>
      <c r="S818" s="249"/>
    </row>
    <row r="819" spans="1:19" s="181" customFormat="1" ht="10.199999999999999" x14ac:dyDescent="0.2">
      <c r="A819" s="237"/>
      <c r="B819" s="244"/>
      <c r="C819" s="244"/>
      <c r="D819" s="244"/>
      <c r="E819" s="244"/>
      <c r="F819" s="236"/>
      <c r="G819" s="244"/>
      <c r="H819" s="244"/>
      <c r="I819" s="244"/>
      <c r="J819" s="244"/>
      <c r="K819" s="238"/>
      <c r="L819" s="238"/>
      <c r="M819" s="199" t="s">
        <v>46</v>
      </c>
      <c r="N819" s="236"/>
      <c r="O819" s="236"/>
      <c r="P819" s="244"/>
      <c r="Q819" s="244"/>
      <c r="R819" s="174"/>
      <c r="S819" s="249"/>
    </row>
    <row r="820" spans="1:19" s="181" customFormat="1" ht="10.199999999999999" x14ac:dyDescent="0.2">
      <c r="A820" s="237"/>
      <c r="B820" s="244"/>
      <c r="C820" s="244"/>
      <c r="D820" s="244"/>
      <c r="E820" s="244"/>
      <c r="F820" s="236"/>
      <c r="G820" s="244"/>
      <c r="H820" s="244"/>
      <c r="I820" s="244"/>
      <c r="J820" s="244"/>
      <c r="K820" s="238"/>
      <c r="L820" s="238"/>
      <c r="M820" s="182" t="s">
        <v>1245</v>
      </c>
      <c r="N820" s="186">
        <v>1536.5</v>
      </c>
      <c r="O820" s="186">
        <v>199.3</v>
      </c>
      <c r="P820" s="244"/>
      <c r="Q820" s="244"/>
      <c r="R820" s="174"/>
      <c r="S820" s="249"/>
    </row>
    <row r="821" spans="1:19" s="181" customFormat="1" ht="10.199999999999999" x14ac:dyDescent="0.2">
      <c r="A821" s="237">
        <f>A815+1</f>
        <v>131</v>
      </c>
      <c r="B821" s="259">
        <v>43921</v>
      </c>
      <c r="C821" s="259">
        <v>44928</v>
      </c>
      <c r="D821" s="236" t="s">
        <v>384</v>
      </c>
      <c r="E821" s="247" t="s">
        <v>958</v>
      </c>
      <c r="F821" s="236" t="s">
        <v>957</v>
      </c>
      <c r="G821" s="236" t="s">
        <v>386</v>
      </c>
      <c r="H821" s="236" t="s">
        <v>1097</v>
      </c>
      <c r="I821" s="236" t="s">
        <v>389</v>
      </c>
      <c r="J821" s="236">
        <v>201.9</v>
      </c>
      <c r="K821" s="250">
        <f>S821*9</f>
        <v>8167.8645000000006</v>
      </c>
      <c r="L821" s="238">
        <f>S821*3</f>
        <v>2722.6215000000002</v>
      </c>
      <c r="M821" s="199" t="s">
        <v>42</v>
      </c>
      <c r="N821" s="241" t="s">
        <v>1142</v>
      </c>
      <c r="O821" s="236"/>
      <c r="P821" s="236" t="s">
        <v>386</v>
      </c>
      <c r="Q821" s="244"/>
      <c r="R821" s="174"/>
      <c r="S821" s="245">
        <f>14.5*J821*1*(1+1.2+0.9)*0.1</f>
        <v>907.54050000000007</v>
      </c>
    </row>
    <row r="822" spans="1:19" s="181" customFormat="1" ht="20.399999999999999" x14ac:dyDescent="0.2">
      <c r="A822" s="237"/>
      <c r="B822" s="244"/>
      <c r="C822" s="244"/>
      <c r="D822" s="244"/>
      <c r="E822" s="236"/>
      <c r="F822" s="236"/>
      <c r="G822" s="244"/>
      <c r="H822" s="244"/>
      <c r="I822" s="244"/>
      <c r="J822" s="244"/>
      <c r="K822" s="238"/>
      <c r="L822" s="238"/>
      <c r="M822" s="199" t="s">
        <v>43</v>
      </c>
      <c r="N822" s="236"/>
      <c r="O822" s="236"/>
      <c r="P822" s="244"/>
      <c r="Q822" s="244"/>
      <c r="R822" s="174"/>
      <c r="S822" s="249"/>
    </row>
    <row r="823" spans="1:19" s="181" customFormat="1" ht="10.199999999999999" x14ac:dyDescent="0.2">
      <c r="A823" s="237"/>
      <c r="B823" s="244"/>
      <c r="C823" s="244"/>
      <c r="D823" s="244"/>
      <c r="E823" s="236"/>
      <c r="F823" s="236"/>
      <c r="G823" s="244"/>
      <c r="H823" s="244"/>
      <c r="I823" s="244"/>
      <c r="J823" s="244"/>
      <c r="K823" s="238"/>
      <c r="L823" s="238"/>
      <c r="M823" s="199" t="s">
        <v>44</v>
      </c>
      <c r="N823" s="236"/>
      <c r="O823" s="236"/>
      <c r="P823" s="244"/>
      <c r="Q823" s="244"/>
      <c r="R823" s="174"/>
      <c r="S823" s="249"/>
    </row>
    <row r="824" spans="1:19" s="181" customFormat="1" ht="10.199999999999999" x14ac:dyDescent="0.2">
      <c r="A824" s="237"/>
      <c r="B824" s="244"/>
      <c r="C824" s="244"/>
      <c r="D824" s="244"/>
      <c r="E824" s="244"/>
      <c r="F824" s="236"/>
      <c r="G824" s="244"/>
      <c r="H824" s="244"/>
      <c r="I824" s="244"/>
      <c r="J824" s="244"/>
      <c r="K824" s="238"/>
      <c r="L824" s="238"/>
      <c r="M824" s="199" t="s">
        <v>45</v>
      </c>
      <c r="N824" s="236"/>
      <c r="O824" s="236"/>
      <c r="P824" s="244"/>
      <c r="Q824" s="244"/>
      <c r="R824" s="174"/>
      <c r="S824" s="249"/>
    </row>
    <row r="825" spans="1:19" s="181" customFormat="1" ht="10.199999999999999" x14ac:dyDescent="0.2">
      <c r="A825" s="237"/>
      <c r="B825" s="244"/>
      <c r="C825" s="244"/>
      <c r="D825" s="244"/>
      <c r="E825" s="244"/>
      <c r="F825" s="236"/>
      <c r="G825" s="244"/>
      <c r="H825" s="244"/>
      <c r="I825" s="244"/>
      <c r="J825" s="244"/>
      <c r="K825" s="238"/>
      <c r="L825" s="238"/>
      <c r="M825" s="199" t="s">
        <v>46</v>
      </c>
      <c r="N825" s="236"/>
      <c r="O825" s="236"/>
      <c r="P825" s="244"/>
      <c r="Q825" s="244"/>
      <c r="R825" s="174"/>
      <c r="S825" s="249"/>
    </row>
    <row r="826" spans="1:19" s="181" customFormat="1" ht="10.199999999999999" x14ac:dyDescent="0.2">
      <c r="A826" s="237"/>
      <c r="B826" s="244"/>
      <c r="C826" s="244"/>
      <c r="D826" s="244"/>
      <c r="E826" s="244"/>
      <c r="F826" s="236"/>
      <c r="G826" s="244"/>
      <c r="H826" s="244"/>
      <c r="I826" s="244"/>
      <c r="J826" s="244"/>
      <c r="K826" s="238"/>
      <c r="L826" s="238"/>
      <c r="M826" s="182" t="s">
        <v>1245</v>
      </c>
      <c r="N826" s="186">
        <v>744.1</v>
      </c>
      <c r="O826" s="186">
        <v>246.35</v>
      </c>
      <c r="P826" s="244"/>
      <c r="Q826" s="244"/>
      <c r="R826" s="174"/>
      <c r="S826" s="249"/>
    </row>
    <row r="827" spans="1:19" s="181" customFormat="1" ht="10.199999999999999" x14ac:dyDescent="0.2">
      <c r="A827" s="237">
        <f>A821+1</f>
        <v>132</v>
      </c>
      <c r="B827" s="259">
        <v>44012</v>
      </c>
      <c r="C827" s="259">
        <v>44927</v>
      </c>
      <c r="D827" s="236" t="s">
        <v>402</v>
      </c>
      <c r="E827" s="236" t="s">
        <v>958</v>
      </c>
      <c r="F827" s="236" t="s">
        <v>957</v>
      </c>
      <c r="G827" s="236" t="s">
        <v>403</v>
      </c>
      <c r="H827" s="236" t="s">
        <v>1098</v>
      </c>
      <c r="I827" s="236" t="s">
        <v>406</v>
      </c>
      <c r="J827" s="236">
        <v>68.5</v>
      </c>
      <c r="K827" s="250">
        <f>(S827+S829+S832)*9</f>
        <v>119302.18650000001</v>
      </c>
      <c r="L827" s="238">
        <f>(S827+S829+S832)*3</f>
        <v>39767.395499999999</v>
      </c>
      <c r="M827" s="199" t="s">
        <v>42</v>
      </c>
      <c r="N827" s="241" t="s">
        <v>1142</v>
      </c>
      <c r="O827" s="251"/>
      <c r="P827" s="236" t="s">
        <v>403</v>
      </c>
      <c r="Q827" s="244"/>
      <c r="R827" s="174"/>
      <c r="S827" s="245">
        <f>14.5*J827*1*(1+1.2+0.9)*0.9</f>
        <v>2771.1675000000005</v>
      </c>
    </row>
    <row r="828" spans="1:19" s="181" customFormat="1" ht="20.399999999999999" x14ac:dyDescent="0.2">
      <c r="A828" s="237"/>
      <c r="B828" s="236"/>
      <c r="C828" s="236"/>
      <c r="D828" s="236"/>
      <c r="E828" s="236"/>
      <c r="F828" s="251"/>
      <c r="G828" s="236"/>
      <c r="H828" s="261"/>
      <c r="I828" s="236"/>
      <c r="J828" s="261"/>
      <c r="K828" s="239"/>
      <c r="L828" s="239"/>
      <c r="M828" s="199" t="s">
        <v>43</v>
      </c>
      <c r="N828" s="251"/>
      <c r="O828" s="251"/>
      <c r="P828" s="236"/>
      <c r="Q828" s="257"/>
      <c r="R828" s="174"/>
      <c r="S828" s="407"/>
    </row>
    <row r="829" spans="1:19" s="181" customFormat="1" ht="10.199999999999999" x14ac:dyDescent="0.2">
      <c r="A829" s="237"/>
      <c r="B829" s="236"/>
      <c r="C829" s="236"/>
      <c r="D829" s="236"/>
      <c r="E829" s="236"/>
      <c r="F829" s="251"/>
      <c r="G829" s="236"/>
      <c r="H829" s="236" t="s">
        <v>1099</v>
      </c>
      <c r="I829" s="236"/>
      <c r="J829" s="236">
        <v>131</v>
      </c>
      <c r="K829" s="239"/>
      <c r="L829" s="239"/>
      <c r="M829" s="199" t="s">
        <v>44</v>
      </c>
      <c r="N829" s="251"/>
      <c r="O829" s="251"/>
      <c r="P829" s="236"/>
      <c r="Q829" s="257"/>
      <c r="R829" s="174"/>
      <c r="S829" s="245">
        <f>14.5*J829*1*(1+1.2+0.9)*0.9</f>
        <v>5299.6049999999996</v>
      </c>
    </row>
    <row r="830" spans="1:19" s="181" customFormat="1" ht="10.199999999999999" x14ac:dyDescent="0.2">
      <c r="A830" s="237"/>
      <c r="B830" s="257"/>
      <c r="C830" s="257"/>
      <c r="D830" s="257"/>
      <c r="E830" s="257"/>
      <c r="F830" s="251"/>
      <c r="G830" s="257"/>
      <c r="H830" s="261"/>
      <c r="I830" s="257"/>
      <c r="J830" s="257"/>
      <c r="K830" s="239"/>
      <c r="L830" s="239"/>
      <c r="M830" s="199" t="s">
        <v>45</v>
      </c>
      <c r="N830" s="251"/>
      <c r="O830" s="251"/>
      <c r="P830" s="257"/>
      <c r="Q830" s="257"/>
      <c r="R830" s="174"/>
      <c r="S830" s="258"/>
    </row>
    <row r="831" spans="1:19" s="181" customFormat="1" x14ac:dyDescent="0.3">
      <c r="A831" s="237"/>
      <c r="B831" s="257"/>
      <c r="C831" s="257"/>
      <c r="D831" s="257"/>
      <c r="E831" s="257"/>
      <c r="F831" s="251"/>
      <c r="G831" s="257"/>
      <c r="H831" s="236" t="s">
        <v>1100</v>
      </c>
      <c r="I831" s="257"/>
      <c r="J831" s="236">
        <v>180.6</v>
      </c>
      <c r="K831" s="239"/>
      <c r="L831" s="239"/>
      <c r="M831" s="199" t="s">
        <v>46</v>
      </c>
      <c r="N831" s="251"/>
      <c r="O831" s="251"/>
      <c r="P831" s="257"/>
      <c r="Q831" s="257"/>
      <c r="R831" s="174"/>
      <c r="S831" s="210"/>
    </row>
    <row r="832" spans="1:19" s="392" customFormat="1" x14ac:dyDescent="0.3">
      <c r="A832" s="237"/>
      <c r="B832" s="257"/>
      <c r="C832" s="257"/>
      <c r="D832" s="257"/>
      <c r="E832" s="257"/>
      <c r="F832" s="251"/>
      <c r="G832" s="257"/>
      <c r="H832" s="261"/>
      <c r="I832" s="257"/>
      <c r="J832" s="257"/>
      <c r="K832" s="239"/>
      <c r="L832" s="239"/>
      <c r="M832" s="182" t="s">
        <v>1245</v>
      </c>
      <c r="N832" s="186">
        <v>656.52</v>
      </c>
      <c r="O832" s="186">
        <v>656.52</v>
      </c>
      <c r="P832" s="257"/>
      <c r="Q832" s="257"/>
      <c r="R832" s="398"/>
      <c r="S832" s="202">
        <f>14.5*J831*1.1*(1+0.1+0.9)*0.9</f>
        <v>5185.0260000000007</v>
      </c>
    </row>
    <row r="833" spans="1:19" s="181" customFormat="1" ht="10.199999999999999" x14ac:dyDescent="0.2">
      <c r="A833" s="237">
        <f>A827+1</f>
        <v>133</v>
      </c>
      <c r="B833" s="259">
        <v>44033</v>
      </c>
      <c r="C833" s="259">
        <v>45127</v>
      </c>
      <c r="D833" s="236" t="s">
        <v>411</v>
      </c>
      <c r="E833" s="236" t="s">
        <v>958</v>
      </c>
      <c r="F833" s="236" t="s">
        <v>957</v>
      </c>
      <c r="G833" s="236" t="s">
        <v>251</v>
      </c>
      <c r="H833" s="236" t="s">
        <v>1101</v>
      </c>
      <c r="I833" s="236" t="s">
        <v>415</v>
      </c>
      <c r="J833" s="236">
        <v>12.5</v>
      </c>
      <c r="K833" s="238">
        <f>S833*9</f>
        <v>1435.5000000000002</v>
      </c>
      <c r="L833" s="238">
        <f>S833*3</f>
        <v>478.50000000000011</v>
      </c>
      <c r="M833" s="199" t="s">
        <v>42</v>
      </c>
      <c r="N833" s="241" t="s">
        <v>1182</v>
      </c>
      <c r="O833" s="242"/>
      <c r="P833" s="236" t="s">
        <v>251</v>
      </c>
      <c r="Q833" s="244"/>
      <c r="R833" s="174"/>
      <c r="S833" s="245">
        <f>14.5*J833*1*(1+0.1+0)*0.8</f>
        <v>159.50000000000003</v>
      </c>
    </row>
    <row r="834" spans="1:19" s="181" customFormat="1" ht="20.399999999999999" x14ac:dyDescent="0.2">
      <c r="A834" s="237"/>
      <c r="B834" s="244"/>
      <c r="C834" s="244"/>
      <c r="D834" s="244"/>
      <c r="E834" s="236"/>
      <c r="F834" s="236"/>
      <c r="G834" s="236"/>
      <c r="H834" s="244"/>
      <c r="I834" s="244"/>
      <c r="J834" s="244"/>
      <c r="K834" s="238"/>
      <c r="L834" s="238"/>
      <c r="M834" s="199" t="s">
        <v>43</v>
      </c>
      <c r="N834" s="242"/>
      <c r="O834" s="242"/>
      <c r="P834" s="242"/>
      <c r="Q834" s="244"/>
      <c r="R834" s="174"/>
      <c r="S834" s="249"/>
    </row>
    <row r="835" spans="1:19" s="181" customFormat="1" ht="10.199999999999999" x14ac:dyDescent="0.2">
      <c r="A835" s="237"/>
      <c r="B835" s="244"/>
      <c r="C835" s="244"/>
      <c r="D835" s="244"/>
      <c r="E835" s="236"/>
      <c r="F835" s="236"/>
      <c r="G835" s="236"/>
      <c r="H835" s="244"/>
      <c r="I835" s="244"/>
      <c r="J835" s="244"/>
      <c r="K835" s="238"/>
      <c r="L835" s="238"/>
      <c r="M835" s="199" t="s">
        <v>44</v>
      </c>
      <c r="N835" s="242"/>
      <c r="O835" s="242"/>
      <c r="P835" s="242"/>
      <c r="Q835" s="244"/>
      <c r="R835" s="174"/>
      <c r="S835" s="249"/>
    </row>
    <row r="836" spans="1:19" s="181" customFormat="1" ht="10.199999999999999" x14ac:dyDescent="0.2">
      <c r="A836" s="237"/>
      <c r="B836" s="244"/>
      <c r="C836" s="244"/>
      <c r="D836" s="244"/>
      <c r="E836" s="244"/>
      <c r="F836" s="236"/>
      <c r="G836" s="236"/>
      <c r="H836" s="244"/>
      <c r="I836" s="244"/>
      <c r="J836" s="244"/>
      <c r="K836" s="238"/>
      <c r="L836" s="238"/>
      <c r="M836" s="199" t="s">
        <v>45</v>
      </c>
      <c r="N836" s="242"/>
      <c r="O836" s="242"/>
      <c r="P836" s="242"/>
      <c r="Q836" s="244"/>
      <c r="R836" s="174"/>
      <c r="S836" s="249"/>
    </row>
    <row r="837" spans="1:19" s="181" customFormat="1" ht="10.199999999999999" x14ac:dyDescent="0.2">
      <c r="A837" s="237"/>
      <c r="B837" s="244"/>
      <c r="C837" s="244"/>
      <c r="D837" s="244"/>
      <c r="E837" s="244"/>
      <c r="F837" s="236"/>
      <c r="G837" s="236"/>
      <c r="H837" s="244"/>
      <c r="I837" s="244"/>
      <c r="J837" s="244"/>
      <c r="K837" s="238"/>
      <c r="L837" s="238"/>
      <c r="M837" s="199" t="s">
        <v>46</v>
      </c>
      <c r="N837" s="242"/>
      <c r="O837" s="242"/>
      <c r="P837" s="242"/>
      <c r="Q837" s="244"/>
      <c r="R837" s="174"/>
      <c r="S837" s="249"/>
    </row>
    <row r="838" spans="1:19" s="181" customFormat="1" ht="10.199999999999999" x14ac:dyDescent="0.2">
      <c r="A838" s="237"/>
      <c r="B838" s="244"/>
      <c r="C838" s="244"/>
      <c r="D838" s="244"/>
      <c r="E838" s="244"/>
      <c r="F838" s="236"/>
      <c r="G838" s="236"/>
      <c r="H838" s="244"/>
      <c r="I838" s="244"/>
      <c r="J838" s="244"/>
      <c r="K838" s="238"/>
      <c r="L838" s="238"/>
      <c r="M838" s="182" t="s">
        <v>1245</v>
      </c>
      <c r="N838" s="186">
        <v>151.4</v>
      </c>
      <c r="O838" s="186">
        <v>22.18</v>
      </c>
      <c r="P838" s="242"/>
      <c r="Q838" s="244"/>
      <c r="R838" s="174"/>
      <c r="S838" s="249"/>
    </row>
    <row r="839" spans="1:19" s="181" customFormat="1" ht="10.199999999999999" x14ac:dyDescent="0.2">
      <c r="A839" s="237">
        <f>A833+1</f>
        <v>134</v>
      </c>
      <c r="B839" s="243">
        <v>44046</v>
      </c>
      <c r="C839" s="243">
        <v>44961</v>
      </c>
      <c r="D839" s="247" t="s">
        <v>417</v>
      </c>
      <c r="E839" s="236" t="s">
        <v>958</v>
      </c>
      <c r="F839" s="236" t="s">
        <v>957</v>
      </c>
      <c r="G839" s="247" t="s">
        <v>419</v>
      </c>
      <c r="H839" s="247" t="s">
        <v>1102</v>
      </c>
      <c r="I839" s="247" t="s">
        <v>422</v>
      </c>
      <c r="J839" s="248">
        <v>201.5</v>
      </c>
      <c r="K839" s="238">
        <f>S839*9</f>
        <v>50487.840000000004</v>
      </c>
      <c r="L839" s="238">
        <f>S839*3</f>
        <v>16829.28</v>
      </c>
      <c r="M839" s="199" t="s">
        <v>42</v>
      </c>
      <c r="N839" s="241" t="s">
        <v>1142</v>
      </c>
      <c r="O839" s="251"/>
      <c r="P839" s="247" t="s">
        <v>419</v>
      </c>
      <c r="Q839" s="244"/>
      <c r="R839" s="174"/>
      <c r="S839" s="245">
        <f>14.5*J839*1.2*(1+0.1+0.9)*0.8</f>
        <v>5609.76</v>
      </c>
    </row>
    <row r="840" spans="1:19" s="181" customFormat="1" ht="20.399999999999999" x14ac:dyDescent="0.2">
      <c r="A840" s="237"/>
      <c r="B840" s="257"/>
      <c r="C840" s="257"/>
      <c r="D840" s="257"/>
      <c r="E840" s="236"/>
      <c r="F840" s="251"/>
      <c r="G840" s="257"/>
      <c r="H840" s="257"/>
      <c r="I840" s="257"/>
      <c r="J840" s="257"/>
      <c r="K840" s="239"/>
      <c r="L840" s="239"/>
      <c r="M840" s="199" t="s">
        <v>43</v>
      </c>
      <c r="N840" s="251"/>
      <c r="O840" s="251"/>
      <c r="P840" s="257"/>
      <c r="Q840" s="257"/>
      <c r="R840" s="174"/>
      <c r="S840" s="258"/>
    </row>
    <row r="841" spans="1:19" s="181" customFormat="1" ht="10.199999999999999" x14ac:dyDescent="0.2">
      <c r="A841" s="237"/>
      <c r="B841" s="257"/>
      <c r="C841" s="257"/>
      <c r="D841" s="257"/>
      <c r="E841" s="236"/>
      <c r="F841" s="251"/>
      <c r="G841" s="257"/>
      <c r="H841" s="257"/>
      <c r="I841" s="257"/>
      <c r="J841" s="257"/>
      <c r="K841" s="239"/>
      <c r="L841" s="239"/>
      <c r="M841" s="199" t="s">
        <v>44</v>
      </c>
      <c r="N841" s="251"/>
      <c r="O841" s="251"/>
      <c r="P841" s="257"/>
      <c r="Q841" s="257"/>
      <c r="R841" s="174"/>
      <c r="S841" s="258"/>
    </row>
    <row r="842" spans="1:19" s="181" customFormat="1" ht="10.199999999999999" x14ac:dyDescent="0.2">
      <c r="A842" s="237"/>
      <c r="B842" s="257"/>
      <c r="C842" s="257"/>
      <c r="D842" s="257"/>
      <c r="E842" s="257"/>
      <c r="F842" s="251"/>
      <c r="G842" s="257"/>
      <c r="H842" s="257"/>
      <c r="I842" s="257"/>
      <c r="J842" s="257"/>
      <c r="K842" s="239"/>
      <c r="L842" s="239"/>
      <c r="M842" s="199" t="s">
        <v>45</v>
      </c>
      <c r="N842" s="251"/>
      <c r="O842" s="251"/>
      <c r="P842" s="257"/>
      <c r="Q842" s="257"/>
      <c r="R842" s="174"/>
      <c r="S842" s="258"/>
    </row>
    <row r="843" spans="1:19" s="181" customFormat="1" ht="10.199999999999999" x14ac:dyDescent="0.2">
      <c r="A843" s="237"/>
      <c r="B843" s="257"/>
      <c r="C843" s="257"/>
      <c r="D843" s="257"/>
      <c r="E843" s="257"/>
      <c r="F843" s="251"/>
      <c r="G843" s="257"/>
      <c r="H843" s="257"/>
      <c r="I843" s="257"/>
      <c r="J843" s="257"/>
      <c r="K843" s="239"/>
      <c r="L843" s="239"/>
      <c r="M843" s="199" t="s">
        <v>46</v>
      </c>
      <c r="N843" s="251"/>
      <c r="O843" s="251"/>
      <c r="P843" s="257"/>
      <c r="Q843" s="257"/>
      <c r="R843" s="174"/>
      <c r="S843" s="258"/>
    </row>
    <row r="844" spans="1:19" s="392" customFormat="1" x14ac:dyDescent="0.3">
      <c r="A844" s="237"/>
      <c r="B844" s="257"/>
      <c r="C844" s="257"/>
      <c r="D844" s="257"/>
      <c r="E844" s="257"/>
      <c r="F844" s="251"/>
      <c r="G844" s="257"/>
      <c r="H844" s="257"/>
      <c r="I844" s="257"/>
      <c r="J844" s="257"/>
      <c r="K844" s="239"/>
      <c r="L844" s="239"/>
      <c r="M844" s="182" t="s">
        <v>1245</v>
      </c>
      <c r="N844" s="186">
        <v>344.58</v>
      </c>
      <c r="O844" s="186">
        <v>344.58</v>
      </c>
      <c r="P844" s="257"/>
      <c r="Q844" s="257"/>
      <c r="R844" s="398"/>
      <c r="S844" s="258"/>
    </row>
    <row r="845" spans="1:19" s="181" customFormat="1" ht="10.199999999999999" x14ac:dyDescent="0.2">
      <c r="A845" s="237">
        <f>A839+1</f>
        <v>135</v>
      </c>
      <c r="B845" s="259">
        <v>44061</v>
      </c>
      <c r="C845" s="259">
        <v>45051</v>
      </c>
      <c r="D845" s="236" t="s">
        <v>424</v>
      </c>
      <c r="E845" s="236" t="s">
        <v>958</v>
      </c>
      <c r="F845" s="236" t="s">
        <v>957</v>
      </c>
      <c r="G845" s="236" t="s">
        <v>425</v>
      </c>
      <c r="H845" s="236" t="s">
        <v>1103</v>
      </c>
      <c r="I845" s="236" t="s">
        <v>428</v>
      </c>
      <c r="J845" s="236">
        <v>629.4</v>
      </c>
      <c r="K845" s="238">
        <f>S845*9</f>
        <v>149078.11050000001</v>
      </c>
      <c r="L845" s="238">
        <f>S845*3</f>
        <v>49692.703500000003</v>
      </c>
      <c r="M845" s="199" t="s">
        <v>42</v>
      </c>
      <c r="N845" s="241" t="s">
        <v>1142</v>
      </c>
      <c r="O845" s="236"/>
      <c r="P845" s="236" t="s">
        <v>425</v>
      </c>
      <c r="Q845" s="244"/>
      <c r="R845" s="174"/>
      <c r="S845" s="245">
        <f>14.5*J845*1.1*(1+1.2+1.1)*0.5</f>
        <v>16564.234500000002</v>
      </c>
    </row>
    <row r="846" spans="1:19" s="181" customFormat="1" ht="20.399999999999999" x14ac:dyDescent="0.2">
      <c r="A846" s="237"/>
      <c r="B846" s="244"/>
      <c r="C846" s="244"/>
      <c r="D846" s="244"/>
      <c r="E846" s="236"/>
      <c r="F846" s="236"/>
      <c r="G846" s="244"/>
      <c r="H846" s="244"/>
      <c r="I846" s="244"/>
      <c r="J846" s="244"/>
      <c r="K846" s="238"/>
      <c r="L846" s="238"/>
      <c r="M846" s="199" t="s">
        <v>43</v>
      </c>
      <c r="N846" s="236"/>
      <c r="O846" s="236"/>
      <c r="P846" s="244"/>
      <c r="Q846" s="244"/>
      <c r="R846" s="174"/>
      <c r="S846" s="249"/>
    </row>
    <row r="847" spans="1:19" s="181" customFormat="1" ht="10.199999999999999" x14ac:dyDescent="0.2">
      <c r="A847" s="237"/>
      <c r="B847" s="244"/>
      <c r="C847" s="244"/>
      <c r="D847" s="244"/>
      <c r="E847" s="236"/>
      <c r="F847" s="236"/>
      <c r="G847" s="244"/>
      <c r="H847" s="244"/>
      <c r="I847" s="244"/>
      <c r="J847" s="244"/>
      <c r="K847" s="238"/>
      <c r="L847" s="238"/>
      <c r="M847" s="199" t="s">
        <v>44</v>
      </c>
      <c r="N847" s="236"/>
      <c r="O847" s="236"/>
      <c r="P847" s="244"/>
      <c r="Q847" s="244"/>
      <c r="R847" s="174"/>
      <c r="S847" s="249"/>
    </row>
    <row r="848" spans="1:19" s="181" customFormat="1" ht="10.199999999999999" x14ac:dyDescent="0.2">
      <c r="A848" s="237"/>
      <c r="B848" s="244"/>
      <c r="C848" s="244"/>
      <c r="D848" s="244"/>
      <c r="E848" s="244"/>
      <c r="F848" s="236"/>
      <c r="G848" s="244"/>
      <c r="H848" s="244"/>
      <c r="I848" s="244"/>
      <c r="J848" s="244"/>
      <c r="K848" s="238"/>
      <c r="L848" s="238"/>
      <c r="M848" s="199" t="s">
        <v>45</v>
      </c>
      <c r="N848" s="236"/>
      <c r="O848" s="236"/>
      <c r="P848" s="244"/>
      <c r="Q848" s="244"/>
      <c r="R848" s="174"/>
      <c r="S848" s="249"/>
    </row>
    <row r="849" spans="1:19" s="181" customFormat="1" ht="10.199999999999999" x14ac:dyDescent="0.2">
      <c r="A849" s="237"/>
      <c r="B849" s="244"/>
      <c r="C849" s="244"/>
      <c r="D849" s="244"/>
      <c r="E849" s="244"/>
      <c r="F849" s="236"/>
      <c r="G849" s="244"/>
      <c r="H849" s="244"/>
      <c r="I849" s="244"/>
      <c r="J849" s="244"/>
      <c r="K849" s="238"/>
      <c r="L849" s="238"/>
      <c r="M849" s="199" t="s">
        <v>46</v>
      </c>
      <c r="N849" s="236"/>
      <c r="O849" s="236"/>
      <c r="P849" s="244"/>
      <c r="Q849" s="244"/>
      <c r="R849" s="174"/>
      <c r="S849" s="249"/>
    </row>
    <row r="850" spans="1:19" s="181" customFormat="1" ht="10.199999999999999" x14ac:dyDescent="0.2">
      <c r="A850" s="237"/>
      <c r="B850" s="244"/>
      <c r="C850" s="244"/>
      <c r="D850" s="244"/>
      <c r="E850" s="244"/>
      <c r="F850" s="236"/>
      <c r="G850" s="244"/>
      <c r="H850" s="244"/>
      <c r="I850" s="244"/>
      <c r="J850" s="244"/>
      <c r="K850" s="238"/>
      <c r="L850" s="238"/>
      <c r="M850" s="182" t="s">
        <v>1245</v>
      </c>
      <c r="N850" s="186">
        <v>12958.7</v>
      </c>
      <c r="O850" s="186">
        <v>1495.45</v>
      </c>
      <c r="P850" s="244"/>
      <c r="Q850" s="244"/>
      <c r="R850" s="174"/>
      <c r="S850" s="249"/>
    </row>
    <row r="851" spans="1:19" s="181" customFormat="1" ht="10.199999999999999" x14ac:dyDescent="0.2">
      <c r="A851" s="237">
        <f>A845+1</f>
        <v>136</v>
      </c>
      <c r="B851" s="243">
        <v>44562</v>
      </c>
      <c r="C851" s="243">
        <v>44926</v>
      </c>
      <c r="D851" s="247" t="s">
        <v>1181</v>
      </c>
      <c r="E851" s="236" t="s">
        <v>958</v>
      </c>
      <c r="F851" s="236" t="s">
        <v>957</v>
      </c>
      <c r="G851" s="247" t="s">
        <v>481</v>
      </c>
      <c r="H851" s="247" t="s">
        <v>1104</v>
      </c>
      <c r="I851" s="247" t="s">
        <v>485</v>
      </c>
      <c r="J851" s="248">
        <v>971.7</v>
      </c>
      <c r="K851" s="238">
        <f>S851*9</f>
        <v>44995.029750000016</v>
      </c>
      <c r="L851" s="238">
        <f>S851*3</f>
        <v>14998.343250000005</v>
      </c>
      <c r="M851" s="199" t="s">
        <v>42</v>
      </c>
      <c r="N851" s="241" t="s">
        <v>1142</v>
      </c>
      <c r="O851" s="236"/>
      <c r="P851" s="247" t="s">
        <v>481</v>
      </c>
      <c r="Q851" s="244"/>
      <c r="R851" s="174"/>
      <c r="S851" s="245">
        <f>(14.5*906.1*1.1*(1+1.2+1.1)*0.1)+(14.5*65.6*1.1*(1+0.1+1.1)*0.1)</f>
        <v>4999.4477500000021</v>
      </c>
    </row>
    <row r="852" spans="1:19" s="181" customFormat="1" ht="20.399999999999999" x14ac:dyDescent="0.2">
      <c r="A852" s="237"/>
      <c r="B852" s="244"/>
      <c r="C852" s="244"/>
      <c r="D852" s="244"/>
      <c r="E852" s="236"/>
      <c r="F852" s="236"/>
      <c r="G852" s="244"/>
      <c r="H852" s="244"/>
      <c r="I852" s="244"/>
      <c r="J852" s="244"/>
      <c r="K852" s="238"/>
      <c r="L852" s="238"/>
      <c r="M852" s="199" t="s">
        <v>43</v>
      </c>
      <c r="N852" s="236"/>
      <c r="O852" s="236"/>
      <c r="P852" s="244"/>
      <c r="Q852" s="244"/>
      <c r="R852" s="174"/>
      <c r="S852" s="249"/>
    </row>
    <row r="853" spans="1:19" s="181" customFormat="1" ht="10.199999999999999" x14ac:dyDescent="0.2">
      <c r="A853" s="237"/>
      <c r="B853" s="244"/>
      <c r="C853" s="244"/>
      <c r="D853" s="244"/>
      <c r="E853" s="236"/>
      <c r="F853" s="236"/>
      <c r="G853" s="244"/>
      <c r="H853" s="244"/>
      <c r="I853" s="244"/>
      <c r="J853" s="244"/>
      <c r="K853" s="238"/>
      <c r="L853" s="238"/>
      <c r="M853" s="199" t="s">
        <v>44</v>
      </c>
      <c r="N853" s="236"/>
      <c r="O853" s="236"/>
      <c r="P853" s="244"/>
      <c r="Q853" s="244"/>
      <c r="R853" s="174"/>
      <c r="S853" s="249"/>
    </row>
    <row r="854" spans="1:19" s="181" customFormat="1" ht="10.199999999999999" x14ac:dyDescent="0.2">
      <c r="A854" s="237"/>
      <c r="B854" s="244"/>
      <c r="C854" s="244"/>
      <c r="D854" s="244"/>
      <c r="E854" s="244"/>
      <c r="F854" s="236"/>
      <c r="G854" s="244"/>
      <c r="H854" s="244"/>
      <c r="I854" s="244"/>
      <c r="J854" s="244"/>
      <c r="K854" s="238"/>
      <c r="L854" s="238"/>
      <c r="M854" s="199" t="s">
        <v>45</v>
      </c>
      <c r="N854" s="236"/>
      <c r="O854" s="236"/>
      <c r="P854" s="244"/>
      <c r="Q854" s="244"/>
      <c r="R854" s="174"/>
      <c r="S854" s="249"/>
    </row>
    <row r="855" spans="1:19" s="181" customFormat="1" ht="10.199999999999999" x14ac:dyDescent="0.2">
      <c r="A855" s="237"/>
      <c r="B855" s="244"/>
      <c r="C855" s="244"/>
      <c r="D855" s="244"/>
      <c r="E855" s="244"/>
      <c r="F855" s="236"/>
      <c r="G855" s="244"/>
      <c r="H855" s="244"/>
      <c r="I855" s="244"/>
      <c r="J855" s="244"/>
      <c r="K855" s="238"/>
      <c r="L855" s="238"/>
      <c r="M855" s="199" t="s">
        <v>46</v>
      </c>
      <c r="N855" s="236"/>
      <c r="O855" s="236"/>
      <c r="P855" s="244"/>
      <c r="Q855" s="244"/>
      <c r="R855" s="174"/>
      <c r="S855" s="249"/>
    </row>
    <row r="856" spans="1:19" s="181" customFormat="1" ht="10.199999999999999" x14ac:dyDescent="0.2">
      <c r="A856" s="237"/>
      <c r="B856" s="244"/>
      <c r="C856" s="244"/>
      <c r="D856" s="244"/>
      <c r="E856" s="244"/>
      <c r="F856" s="236"/>
      <c r="G856" s="244"/>
      <c r="H856" s="244"/>
      <c r="I856" s="244"/>
      <c r="J856" s="244"/>
      <c r="K856" s="238"/>
      <c r="L856" s="238"/>
      <c r="M856" s="182" t="s">
        <v>1245</v>
      </c>
      <c r="N856" s="195">
        <v>8000.6</v>
      </c>
      <c r="O856" s="195">
        <v>1179.29</v>
      </c>
      <c r="P856" s="244"/>
      <c r="Q856" s="244"/>
      <c r="R856" s="174"/>
      <c r="S856" s="249"/>
    </row>
    <row r="857" spans="1:19" s="181" customFormat="1" ht="10.199999999999999" x14ac:dyDescent="0.2">
      <c r="A857" s="237">
        <f>A851+1</f>
        <v>137</v>
      </c>
      <c r="B857" s="259">
        <v>44497</v>
      </c>
      <c r="C857" s="259">
        <v>45592</v>
      </c>
      <c r="D857" s="236" t="s">
        <v>575</v>
      </c>
      <c r="E857" s="236" t="s">
        <v>958</v>
      </c>
      <c r="F857" s="236" t="s">
        <v>957</v>
      </c>
      <c r="G857" s="236" t="s">
        <v>576</v>
      </c>
      <c r="H857" s="236" t="s">
        <v>1105</v>
      </c>
      <c r="I857" s="236" t="s">
        <v>579</v>
      </c>
      <c r="J857" s="236">
        <f>108.8+200.4</f>
        <v>309.2</v>
      </c>
      <c r="K857" s="238">
        <f>S857*9</f>
        <v>12041.548200000003</v>
      </c>
      <c r="L857" s="238">
        <f>S857*3</f>
        <v>4013.849400000001</v>
      </c>
      <c r="M857" s="199" t="s">
        <v>42</v>
      </c>
      <c r="N857" s="241" t="s">
        <v>1142</v>
      </c>
      <c r="O857" s="236"/>
      <c r="P857" s="236" t="s">
        <v>576</v>
      </c>
      <c r="Q857" s="244"/>
      <c r="R857" s="174"/>
      <c r="S857" s="245">
        <f>(14.5*108.8*1.1*(1+0.1+0.9)*0.1)+(14.5*200.4*1.1*(1+1.2+0.9)*0.1)</f>
        <v>1337.9498000000003</v>
      </c>
    </row>
    <row r="858" spans="1:19" s="181" customFormat="1" ht="20.399999999999999" x14ac:dyDescent="0.2">
      <c r="A858" s="237"/>
      <c r="B858" s="244"/>
      <c r="C858" s="244"/>
      <c r="D858" s="244"/>
      <c r="E858" s="236"/>
      <c r="F858" s="236"/>
      <c r="G858" s="244"/>
      <c r="H858" s="244"/>
      <c r="I858" s="244"/>
      <c r="J858" s="244"/>
      <c r="K858" s="238"/>
      <c r="L858" s="238"/>
      <c r="M858" s="199" t="s">
        <v>43</v>
      </c>
      <c r="N858" s="236"/>
      <c r="O858" s="236"/>
      <c r="P858" s="244"/>
      <c r="Q858" s="244"/>
      <c r="R858" s="174"/>
      <c r="S858" s="249"/>
    </row>
    <row r="859" spans="1:19" s="181" customFormat="1" ht="10.199999999999999" x14ac:dyDescent="0.2">
      <c r="A859" s="237"/>
      <c r="B859" s="244"/>
      <c r="C859" s="244"/>
      <c r="D859" s="244"/>
      <c r="E859" s="236"/>
      <c r="F859" s="236"/>
      <c r="G859" s="244"/>
      <c r="H859" s="244"/>
      <c r="I859" s="244"/>
      <c r="J859" s="244"/>
      <c r="K859" s="238"/>
      <c r="L859" s="238"/>
      <c r="M859" s="199" t="s">
        <v>44</v>
      </c>
      <c r="N859" s="236"/>
      <c r="O859" s="236"/>
      <c r="P859" s="244"/>
      <c r="Q859" s="244"/>
      <c r="R859" s="174"/>
      <c r="S859" s="249"/>
    </row>
    <row r="860" spans="1:19" s="181" customFormat="1" ht="10.199999999999999" x14ac:dyDescent="0.2">
      <c r="A860" s="237"/>
      <c r="B860" s="244"/>
      <c r="C860" s="244"/>
      <c r="D860" s="244"/>
      <c r="E860" s="244"/>
      <c r="F860" s="236"/>
      <c r="G860" s="244"/>
      <c r="H860" s="244"/>
      <c r="I860" s="244"/>
      <c r="J860" s="244"/>
      <c r="K860" s="238"/>
      <c r="L860" s="238"/>
      <c r="M860" s="199" t="s">
        <v>45</v>
      </c>
      <c r="N860" s="236"/>
      <c r="O860" s="236"/>
      <c r="P860" s="244"/>
      <c r="Q860" s="244"/>
      <c r="R860" s="174"/>
      <c r="S860" s="249"/>
    </row>
    <row r="861" spans="1:19" s="181" customFormat="1" ht="10.199999999999999" x14ac:dyDescent="0.2">
      <c r="A861" s="237"/>
      <c r="B861" s="244"/>
      <c r="C861" s="244"/>
      <c r="D861" s="244"/>
      <c r="E861" s="244"/>
      <c r="F861" s="236"/>
      <c r="G861" s="244"/>
      <c r="H861" s="244"/>
      <c r="I861" s="244"/>
      <c r="J861" s="244"/>
      <c r="K861" s="238"/>
      <c r="L861" s="238"/>
      <c r="M861" s="199" t="s">
        <v>46</v>
      </c>
      <c r="N861" s="236"/>
      <c r="O861" s="236"/>
      <c r="P861" s="244"/>
      <c r="Q861" s="244"/>
      <c r="R861" s="174"/>
      <c r="S861" s="249"/>
    </row>
    <row r="862" spans="1:19" s="181" customFormat="1" ht="10.199999999999999" x14ac:dyDescent="0.2">
      <c r="A862" s="237"/>
      <c r="B862" s="244"/>
      <c r="C862" s="244"/>
      <c r="D862" s="244"/>
      <c r="E862" s="244"/>
      <c r="F862" s="236"/>
      <c r="G862" s="244"/>
      <c r="H862" s="244"/>
      <c r="I862" s="244"/>
      <c r="J862" s="244"/>
      <c r="K862" s="238"/>
      <c r="L862" s="238"/>
      <c r="M862" s="182" t="s">
        <v>1245</v>
      </c>
      <c r="N862" s="186">
        <v>1057.7</v>
      </c>
      <c r="O862" s="186">
        <v>528.73</v>
      </c>
      <c r="P862" s="244"/>
      <c r="Q862" s="244"/>
      <c r="R862" s="174"/>
      <c r="S862" s="249"/>
    </row>
    <row r="863" spans="1:19" s="181" customFormat="1" ht="10.199999999999999" x14ac:dyDescent="0.2">
      <c r="A863" s="237">
        <f>A857+1</f>
        <v>138</v>
      </c>
      <c r="B863" s="259">
        <v>43847</v>
      </c>
      <c r="C863" s="259">
        <v>44928</v>
      </c>
      <c r="D863" s="436" t="s">
        <v>675</v>
      </c>
      <c r="E863" s="236" t="s">
        <v>1077</v>
      </c>
      <c r="F863" s="236" t="s">
        <v>957</v>
      </c>
      <c r="G863" s="266" t="s">
        <v>677</v>
      </c>
      <c r="H863" s="266" t="s">
        <v>1106</v>
      </c>
      <c r="I863" s="236" t="s">
        <v>680</v>
      </c>
      <c r="J863" s="241">
        <v>63</v>
      </c>
      <c r="K863" s="238">
        <f>S863*9</f>
        <v>12480.236999999999</v>
      </c>
      <c r="L863" s="238">
        <f>S863*3</f>
        <v>4160.0789999999997</v>
      </c>
      <c r="M863" s="199" t="s">
        <v>42</v>
      </c>
      <c r="N863" s="241" t="s">
        <v>1142</v>
      </c>
      <c r="O863" s="242"/>
      <c r="P863" s="266" t="s">
        <v>677</v>
      </c>
      <c r="Q863" s="244"/>
      <c r="R863" s="174"/>
      <c r="S863" s="245">
        <f>14.5*J863*1.1*(1+1+0.3)*0.6</f>
        <v>1386.693</v>
      </c>
    </row>
    <row r="864" spans="1:19" s="181" customFormat="1" ht="20.399999999999999" x14ac:dyDescent="0.2">
      <c r="A864" s="237"/>
      <c r="B864" s="257"/>
      <c r="C864" s="257"/>
      <c r="D864" s="257"/>
      <c r="E864" s="236"/>
      <c r="F864" s="251"/>
      <c r="G864" s="257"/>
      <c r="H864" s="257"/>
      <c r="I864" s="257"/>
      <c r="J864" s="257"/>
      <c r="K864" s="239"/>
      <c r="L864" s="239"/>
      <c r="M864" s="199" t="s">
        <v>43</v>
      </c>
      <c r="N864" s="242"/>
      <c r="O864" s="242"/>
      <c r="P864" s="257"/>
      <c r="Q864" s="257"/>
      <c r="R864" s="174"/>
      <c r="S864" s="258"/>
    </row>
    <row r="865" spans="1:19" s="181" customFormat="1" ht="10.199999999999999" x14ac:dyDescent="0.2">
      <c r="A865" s="237"/>
      <c r="B865" s="257"/>
      <c r="C865" s="257"/>
      <c r="D865" s="257"/>
      <c r="E865" s="257"/>
      <c r="F865" s="251"/>
      <c r="G865" s="257"/>
      <c r="H865" s="257"/>
      <c r="I865" s="257"/>
      <c r="J865" s="257"/>
      <c r="K865" s="239"/>
      <c r="L865" s="239"/>
      <c r="M865" s="199" t="s">
        <v>44</v>
      </c>
      <c r="N865" s="242"/>
      <c r="O865" s="242"/>
      <c r="P865" s="257"/>
      <c r="Q865" s="257"/>
      <c r="R865" s="174"/>
      <c r="S865" s="258"/>
    </row>
    <row r="866" spans="1:19" s="181" customFormat="1" ht="10.199999999999999" x14ac:dyDescent="0.2">
      <c r="A866" s="237"/>
      <c r="B866" s="257"/>
      <c r="C866" s="257"/>
      <c r="D866" s="257"/>
      <c r="E866" s="257"/>
      <c r="F866" s="251"/>
      <c r="G866" s="257"/>
      <c r="H866" s="257"/>
      <c r="I866" s="257"/>
      <c r="J866" s="257"/>
      <c r="K866" s="239"/>
      <c r="L866" s="239"/>
      <c r="M866" s="199" t="s">
        <v>45</v>
      </c>
      <c r="N866" s="242"/>
      <c r="O866" s="242"/>
      <c r="P866" s="257"/>
      <c r="Q866" s="257"/>
      <c r="R866" s="174"/>
      <c r="S866" s="258"/>
    </row>
    <row r="867" spans="1:19" s="181" customFormat="1" ht="10.199999999999999" x14ac:dyDescent="0.2">
      <c r="A867" s="237"/>
      <c r="B867" s="257"/>
      <c r="C867" s="257"/>
      <c r="D867" s="257"/>
      <c r="E867" s="257"/>
      <c r="F867" s="251"/>
      <c r="G867" s="257"/>
      <c r="H867" s="257"/>
      <c r="I867" s="257"/>
      <c r="J867" s="257"/>
      <c r="K867" s="239"/>
      <c r="L867" s="239"/>
      <c r="M867" s="199" t="s">
        <v>46</v>
      </c>
      <c r="N867" s="242"/>
      <c r="O867" s="242"/>
      <c r="P867" s="257"/>
      <c r="Q867" s="257"/>
      <c r="R867" s="174"/>
      <c r="S867" s="258"/>
    </row>
    <row r="868" spans="1:19" s="392" customFormat="1" x14ac:dyDescent="0.3">
      <c r="A868" s="237"/>
      <c r="B868" s="257"/>
      <c r="C868" s="257"/>
      <c r="D868" s="257"/>
      <c r="E868" s="257"/>
      <c r="F868" s="251"/>
      <c r="G868" s="257"/>
      <c r="H868" s="257"/>
      <c r="I868" s="257"/>
      <c r="J868" s="257"/>
      <c r="K868" s="239"/>
      <c r="L868" s="239"/>
      <c r="M868" s="199" t="s">
        <v>1245</v>
      </c>
      <c r="N868" s="237" t="s">
        <v>1177</v>
      </c>
      <c r="O868" s="284"/>
      <c r="P868" s="257"/>
      <c r="Q868" s="257"/>
      <c r="R868" s="398"/>
      <c r="S868" s="258"/>
    </row>
    <row r="869" spans="1:19" s="181" customFormat="1" ht="10.199999999999999" x14ac:dyDescent="0.2">
      <c r="A869" s="237">
        <f>A863+1</f>
        <v>139</v>
      </c>
      <c r="B869" s="259">
        <v>44523</v>
      </c>
      <c r="C869" s="259">
        <v>46348</v>
      </c>
      <c r="D869" s="236" t="s">
        <v>824</v>
      </c>
      <c r="E869" s="236" t="s">
        <v>1082</v>
      </c>
      <c r="F869" s="236" t="s">
        <v>957</v>
      </c>
      <c r="G869" s="236" t="s">
        <v>251</v>
      </c>
      <c r="H869" s="236" t="s">
        <v>1107</v>
      </c>
      <c r="I869" s="236" t="s">
        <v>828</v>
      </c>
      <c r="J869" s="236">
        <v>9.8000000000000007</v>
      </c>
      <c r="K869" s="238">
        <f>S869*9</f>
        <v>1688.1480000000004</v>
      </c>
      <c r="L869" s="238">
        <f>S869*3</f>
        <v>562.71600000000012</v>
      </c>
      <c r="M869" s="199" t="s">
        <v>42</v>
      </c>
      <c r="N869" s="241" t="s">
        <v>1182</v>
      </c>
      <c r="O869" s="432"/>
      <c r="P869" s="432"/>
      <c r="Q869" s="244"/>
      <c r="R869" s="174"/>
      <c r="S869" s="245">
        <f>14.5*J869*1*(1+1.2+0)*0.6</f>
        <v>187.57200000000003</v>
      </c>
    </row>
    <row r="870" spans="1:19" s="181" customFormat="1" ht="20.399999999999999" x14ac:dyDescent="0.2">
      <c r="A870" s="237"/>
      <c r="B870" s="251"/>
      <c r="C870" s="257"/>
      <c r="D870" s="257"/>
      <c r="E870" s="236"/>
      <c r="F870" s="251"/>
      <c r="G870" s="257"/>
      <c r="H870" s="257"/>
      <c r="I870" s="257"/>
      <c r="J870" s="257"/>
      <c r="K870" s="239"/>
      <c r="L870" s="239"/>
      <c r="M870" s="199" t="s">
        <v>43</v>
      </c>
      <c r="N870" s="432"/>
      <c r="O870" s="432"/>
      <c r="P870" s="432"/>
      <c r="Q870" s="257"/>
      <c r="R870" s="174"/>
      <c r="S870" s="258"/>
    </row>
    <row r="871" spans="1:19" s="181" customFormat="1" ht="10.199999999999999" x14ac:dyDescent="0.2">
      <c r="A871" s="237"/>
      <c r="B871" s="251"/>
      <c r="C871" s="257"/>
      <c r="D871" s="257"/>
      <c r="E871" s="257"/>
      <c r="F871" s="251"/>
      <c r="G871" s="257"/>
      <c r="H871" s="257"/>
      <c r="I871" s="257"/>
      <c r="J871" s="257"/>
      <c r="K871" s="239"/>
      <c r="L871" s="239"/>
      <c r="M871" s="199" t="s">
        <v>44</v>
      </c>
      <c r="N871" s="432"/>
      <c r="O871" s="432"/>
      <c r="P871" s="432"/>
      <c r="Q871" s="257"/>
      <c r="R871" s="174"/>
      <c r="S871" s="258"/>
    </row>
    <row r="872" spans="1:19" s="181" customFormat="1" ht="10.199999999999999" x14ac:dyDescent="0.2">
      <c r="A872" s="237"/>
      <c r="B872" s="251"/>
      <c r="C872" s="257"/>
      <c r="D872" s="257"/>
      <c r="E872" s="257"/>
      <c r="F872" s="251"/>
      <c r="G872" s="257"/>
      <c r="H872" s="257"/>
      <c r="I872" s="257"/>
      <c r="J872" s="257"/>
      <c r="K872" s="239"/>
      <c r="L872" s="239"/>
      <c r="M872" s="199" t="s">
        <v>45</v>
      </c>
      <c r="N872" s="432"/>
      <c r="O872" s="432"/>
      <c r="P872" s="432"/>
      <c r="Q872" s="257"/>
      <c r="R872" s="174"/>
      <c r="S872" s="258"/>
    </row>
    <row r="873" spans="1:19" s="181" customFormat="1" ht="10.199999999999999" x14ac:dyDescent="0.2">
      <c r="A873" s="237"/>
      <c r="B873" s="251"/>
      <c r="C873" s="257"/>
      <c r="D873" s="257"/>
      <c r="E873" s="257"/>
      <c r="F873" s="251"/>
      <c r="G873" s="257"/>
      <c r="H873" s="257"/>
      <c r="I873" s="257"/>
      <c r="J873" s="257"/>
      <c r="K873" s="239"/>
      <c r="L873" s="239"/>
      <c r="M873" s="199" t="s">
        <v>46</v>
      </c>
      <c r="N873" s="432"/>
      <c r="O873" s="432"/>
      <c r="P873" s="432"/>
      <c r="Q873" s="257"/>
      <c r="R873" s="174"/>
      <c r="S873" s="258"/>
    </row>
    <row r="874" spans="1:19" s="392" customFormat="1" x14ac:dyDescent="0.3">
      <c r="A874" s="237"/>
      <c r="B874" s="251"/>
      <c r="C874" s="257"/>
      <c r="D874" s="257"/>
      <c r="E874" s="257"/>
      <c r="F874" s="251"/>
      <c r="G874" s="257"/>
      <c r="H874" s="257"/>
      <c r="I874" s="257"/>
      <c r="J874" s="257"/>
      <c r="K874" s="239"/>
      <c r="L874" s="239"/>
      <c r="M874" s="199" t="s">
        <v>1245</v>
      </c>
      <c r="N874" s="241" t="s">
        <v>1177</v>
      </c>
      <c r="O874" s="290"/>
      <c r="P874" s="290"/>
      <c r="Q874" s="257"/>
      <c r="R874" s="398"/>
      <c r="S874" s="258"/>
    </row>
    <row r="875" spans="1:19" s="181" customFormat="1" ht="10.199999999999999" x14ac:dyDescent="0.2">
      <c r="A875" s="421"/>
      <c r="B875" s="426" t="s">
        <v>1145</v>
      </c>
      <c r="C875" s="433"/>
      <c r="D875" s="433"/>
      <c r="E875" s="433"/>
      <c r="F875" s="433"/>
      <c r="G875" s="433"/>
      <c r="H875" s="433"/>
      <c r="I875" s="433"/>
      <c r="J875" s="241">
        <f>SUM(J767:J874)</f>
        <v>3575.84</v>
      </c>
      <c r="K875" s="241">
        <f>SUM(K767:K874)</f>
        <v>592952.16357000009</v>
      </c>
      <c r="L875" s="241">
        <f>SUM(L767:L874)</f>
        <v>197650.72118999998</v>
      </c>
      <c r="M875" s="177" t="s">
        <v>69</v>
      </c>
      <c r="N875" s="190">
        <f>SUM(N876:N881)</f>
        <v>28741.360000000004</v>
      </c>
      <c r="O875" s="190">
        <f>SUM(O876:O881)</f>
        <v>5590.68</v>
      </c>
      <c r="P875" s="244"/>
      <c r="Q875" s="244"/>
      <c r="R875" s="174"/>
      <c r="S875" s="406"/>
    </row>
    <row r="876" spans="1:19" s="181" customFormat="1" ht="10.199999999999999" x14ac:dyDescent="0.2">
      <c r="A876" s="435"/>
      <c r="B876" s="433"/>
      <c r="C876" s="433"/>
      <c r="D876" s="433"/>
      <c r="E876" s="433"/>
      <c r="F876" s="433"/>
      <c r="G876" s="433"/>
      <c r="H876" s="433"/>
      <c r="I876" s="433"/>
      <c r="J876" s="267"/>
      <c r="K876" s="267"/>
      <c r="L876" s="267"/>
      <c r="M876" s="179" t="s">
        <v>42</v>
      </c>
      <c r="N876" s="180">
        <f t="shared" ref="N876:O880" si="8">N797+N809</f>
        <v>0</v>
      </c>
      <c r="O876" s="180">
        <f t="shared" si="8"/>
        <v>0</v>
      </c>
      <c r="P876" s="257"/>
      <c r="Q876" s="257"/>
      <c r="R876" s="174"/>
      <c r="S876" s="406"/>
    </row>
    <row r="877" spans="1:19" s="181" customFormat="1" ht="20.399999999999999" x14ac:dyDescent="0.2">
      <c r="A877" s="435"/>
      <c r="B877" s="433"/>
      <c r="C877" s="433"/>
      <c r="D877" s="433"/>
      <c r="E877" s="433"/>
      <c r="F877" s="433"/>
      <c r="G877" s="433"/>
      <c r="H877" s="433"/>
      <c r="I877" s="433"/>
      <c r="J877" s="267"/>
      <c r="K877" s="267"/>
      <c r="L877" s="267"/>
      <c r="M877" s="179" t="s">
        <v>43</v>
      </c>
      <c r="N877" s="180">
        <f t="shared" si="8"/>
        <v>0</v>
      </c>
      <c r="O877" s="180">
        <f t="shared" si="8"/>
        <v>0</v>
      </c>
      <c r="P877" s="257"/>
      <c r="Q877" s="257"/>
      <c r="R877" s="174"/>
      <c r="S877" s="406"/>
    </row>
    <row r="878" spans="1:19" s="181" customFormat="1" ht="10.199999999999999" x14ac:dyDescent="0.2">
      <c r="A878" s="435"/>
      <c r="B878" s="433"/>
      <c r="C878" s="433"/>
      <c r="D878" s="433"/>
      <c r="E878" s="433"/>
      <c r="F878" s="433"/>
      <c r="G878" s="433"/>
      <c r="H878" s="433"/>
      <c r="I878" s="433"/>
      <c r="J878" s="267"/>
      <c r="K878" s="267"/>
      <c r="L878" s="267"/>
      <c r="M878" s="179" t="s">
        <v>44</v>
      </c>
      <c r="N878" s="180">
        <f t="shared" si="8"/>
        <v>0</v>
      </c>
      <c r="O878" s="180">
        <f t="shared" si="8"/>
        <v>0</v>
      </c>
      <c r="P878" s="257"/>
      <c r="Q878" s="257"/>
      <c r="R878" s="174"/>
      <c r="S878" s="406"/>
    </row>
    <row r="879" spans="1:19" s="181" customFormat="1" ht="10.199999999999999" x14ac:dyDescent="0.2">
      <c r="A879" s="435"/>
      <c r="B879" s="433"/>
      <c r="C879" s="433"/>
      <c r="D879" s="433"/>
      <c r="E879" s="433"/>
      <c r="F879" s="433"/>
      <c r="G879" s="433"/>
      <c r="H879" s="433"/>
      <c r="I879" s="433"/>
      <c r="J879" s="267"/>
      <c r="K879" s="267"/>
      <c r="L879" s="267"/>
      <c r="M879" s="179" t="s">
        <v>45</v>
      </c>
      <c r="N879" s="180">
        <f t="shared" si="8"/>
        <v>0</v>
      </c>
      <c r="O879" s="180">
        <f t="shared" si="8"/>
        <v>0</v>
      </c>
      <c r="P879" s="257"/>
      <c r="Q879" s="257"/>
      <c r="R879" s="174"/>
      <c r="S879" s="406"/>
    </row>
    <row r="880" spans="1:19" s="181" customFormat="1" ht="10.199999999999999" x14ac:dyDescent="0.2">
      <c r="A880" s="435"/>
      <c r="B880" s="433"/>
      <c r="C880" s="433"/>
      <c r="D880" s="433"/>
      <c r="E880" s="433"/>
      <c r="F880" s="433"/>
      <c r="G880" s="433"/>
      <c r="H880" s="433"/>
      <c r="I880" s="433"/>
      <c r="J880" s="267"/>
      <c r="K880" s="267"/>
      <c r="L880" s="267"/>
      <c r="M880" s="179" t="s">
        <v>46</v>
      </c>
      <c r="N880" s="180">
        <f t="shared" si="8"/>
        <v>0</v>
      </c>
      <c r="O880" s="180">
        <f t="shared" si="8"/>
        <v>0</v>
      </c>
      <c r="P880" s="257"/>
      <c r="Q880" s="257"/>
      <c r="R880" s="174"/>
      <c r="S880" s="406"/>
    </row>
    <row r="881" spans="1:19" s="181" customFormat="1" ht="10.199999999999999" x14ac:dyDescent="0.2">
      <c r="A881" s="435"/>
      <c r="B881" s="433"/>
      <c r="C881" s="433"/>
      <c r="D881" s="433"/>
      <c r="E881" s="433"/>
      <c r="F881" s="433"/>
      <c r="G881" s="433"/>
      <c r="H881" s="433"/>
      <c r="I881" s="433"/>
      <c r="J881" s="267"/>
      <c r="K881" s="267"/>
      <c r="L881" s="267"/>
      <c r="M881" s="174" t="s">
        <v>1245</v>
      </c>
      <c r="N881" s="183">
        <f>N772+N778+N784+N790+N796+N802+N808+N814+N820+N826+N832+N838+N844+N850+N856+N862</f>
        <v>28741.360000000004</v>
      </c>
      <c r="O881" s="183">
        <f>O772+O778+O784+O790+O796+O802+O808+O814+O820+O826+O832+O838+O844+O850+O856+O862</f>
        <v>5590.68</v>
      </c>
      <c r="P881" s="257"/>
      <c r="Q881" s="257"/>
      <c r="R881" s="174"/>
      <c r="S881" s="406"/>
    </row>
    <row r="882" spans="1:19" s="394" customFormat="1" ht="15.6" x14ac:dyDescent="0.3">
      <c r="A882" s="274" t="s">
        <v>1108</v>
      </c>
      <c r="B882" s="274"/>
      <c r="C882" s="274"/>
      <c r="D882" s="274"/>
      <c r="E882" s="274"/>
      <c r="F882" s="274"/>
      <c r="G882" s="274"/>
      <c r="H882" s="274"/>
      <c r="I882" s="274"/>
      <c r="J882" s="274"/>
      <c r="K882" s="274"/>
      <c r="L882" s="274"/>
      <c r="M882" s="274"/>
      <c r="N882" s="274"/>
      <c r="O882" s="274"/>
      <c r="P882" s="274"/>
      <c r="Q882" s="282"/>
      <c r="R882" s="408"/>
      <c r="S882" s="409"/>
    </row>
    <row r="883" spans="1:19" s="181" customFormat="1" ht="10.199999999999999" x14ac:dyDescent="0.2">
      <c r="A883" s="237">
        <f>A869+1</f>
        <v>140</v>
      </c>
      <c r="B883" s="259">
        <v>39995</v>
      </c>
      <c r="C883" s="259" t="s">
        <v>138</v>
      </c>
      <c r="D883" s="236" t="s">
        <v>139</v>
      </c>
      <c r="E883" s="236" t="s">
        <v>958</v>
      </c>
      <c r="F883" s="236" t="s">
        <v>957</v>
      </c>
      <c r="G883" s="236" t="s">
        <v>141</v>
      </c>
      <c r="H883" s="236" t="s">
        <v>1109</v>
      </c>
      <c r="I883" s="236" t="s">
        <v>145</v>
      </c>
      <c r="J883" s="236">
        <v>25.1</v>
      </c>
      <c r="K883" s="238">
        <f>(S883+S885+S888)*9</f>
        <v>5897.5560000000005</v>
      </c>
      <c r="L883" s="238">
        <f>(S883+S885+S888)*3</f>
        <v>1965.8520000000003</v>
      </c>
      <c r="M883" s="199" t="s">
        <v>42</v>
      </c>
      <c r="N883" s="236" t="s">
        <v>1142</v>
      </c>
      <c r="O883" s="251"/>
      <c r="P883" s="236" t="s">
        <v>141</v>
      </c>
      <c r="Q883" s="244"/>
      <c r="R883" s="174"/>
      <c r="S883" s="245">
        <f>14.5*J883*1*(1+0.1+0.3)*0.6</f>
        <v>305.71800000000002</v>
      </c>
    </row>
    <row r="884" spans="1:19" s="181" customFormat="1" ht="20.399999999999999" x14ac:dyDescent="0.2">
      <c r="A884" s="237"/>
      <c r="B884" s="259"/>
      <c r="C884" s="259"/>
      <c r="D884" s="236"/>
      <c r="E884" s="265"/>
      <c r="F884" s="251"/>
      <c r="G884" s="236"/>
      <c r="H884" s="261"/>
      <c r="I884" s="236"/>
      <c r="J884" s="261"/>
      <c r="K884" s="239"/>
      <c r="L884" s="239"/>
      <c r="M884" s="199" t="s">
        <v>43</v>
      </c>
      <c r="N884" s="251"/>
      <c r="O884" s="251"/>
      <c r="P884" s="257"/>
      <c r="Q884" s="261"/>
      <c r="R884" s="174"/>
      <c r="S884" s="407"/>
    </row>
    <row r="885" spans="1:19" s="181" customFormat="1" ht="10.199999999999999" x14ac:dyDescent="0.2">
      <c r="A885" s="237"/>
      <c r="B885" s="259"/>
      <c r="C885" s="259"/>
      <c r="D885" s="236"/>
      <c r="E885" s="236"/>
      <c r="F885" s="251"/>
      <c r="G885" s="236"/>
      <c r="H885" s="236" t="s">
        <v>1110</v>
      </c>
      <c r="I885" s="236"/>
      <c r="J885" s="236">
        <v>14.3</v>
      </c>
      <c r="K885" s="239"/>
      <c r="L885" s="239"/>
      <c r="M885" s="199" t="s">
        <v>44</v>
      </c>
      <c r="N885" s="251"/>
      <c r="O885" s="251"/>
      <c r="P885" s="257"/>
      <c r="Q885" s="261"/>
      <c r="R885" s="174"/>
      <c r="S885" s="245">
        <f>14.5*J885*1*(1+0.1+0.3)*0.6</f>
        <v>174.17400000000004</v>
      </c>
    </row>
    <row r="886" spans="1:19" s="181" customFormat="1" ht="10.199999999999999" x14ac:dyDescent="0.2">
      <c r="A886" s="237"/>
      <c r="B886" s="257"/>
      <c r="C886" s="257"/>
      <c r="D886" s="257"/>
      <c r="E886" s="257"/>
      <c r="F886" s="251"/>
      <c r="G886" s="257"/>
      <c r="H886" s="257"/>
      <c r="I886" s="257"/>
      <c r="J886" s="257"/>
      <c r="K886" s="239"/>
      <c r="L886" s="239"/>
      <c r="M886" s="199" t="s">
        <v>45</v>
      </c>
      <c r="N886" s="251"/>
      <c r="O886" s="251"/>
      <c r="P886" s="257"/>
      <c r="Q886" s="261"/>
      <c r="R886" s="174"/>
      <c r="S886" s="258"/>
    </row>
    <row r="887" spans="1:19" s="181" customFormat="1" x14ac:dyDescent="0.3">
      <c r="A887" s="237"/>
      <c r="B887" s="257"/>
      <c r="C887" s="257"/>
      <c r="D887" s="257"/>
      <c r="E887" s="257"/>
      <c r="F887" s="251"/>
      <c r="G887" s="257"/>
      <c r="H887" s="236" t="s">
        <v>1170</v>
      </c>
      <c r="I887" s="257"/>
      <c r="J887" s="236">
        <v>12</v>
      </c>
      <c r="K887" s="239"/>
      <c r="L887" s="239"/>
      <c r="M887" s="199" t="s">
        <v>46</v>
      </c>
      <c r="N887" s="251"/>
      <c r="O887" s="251"/>
      <c r="P887" s="257"/>
      <c r="Q887" s="261"/>
      <c r="R887" s="174"/>
      <c r="S887" s="210"/>
    </row>
    <row r="888" spans="1:19" s="392" customFormat="1" x14ac:dyDescent="0.3">
      <c r="A888" s="237"/>
      <c r="B888" s="257"/>
      <c r="C888" s="257"/>
      <c r="D888" s="257"/>
      <c r="E888" s="257"/>
      <c r="F888" s="251"/>
      <c r="G888" s="257"/>
      <c r="H888" s="257"/>
      <c r="I888" s="257"/>
      <c r="J888" s="257"/>
      <c r="K888" s="239"/>
      <c r="L888" s="239"/>
      <c r="M888" s="182" t="s">
        <v>1245</v>
      </c>
      <c r="N888" s="200">
        <v>97.53</v>
      </c>
      <c r="O888" s="200">
        <v>97.53</v>
      </c>
      <c r="P888" s="257"/>
      <c r="Q888" s="261"/>
      <c r="R888" s="398"/>
      <c r="S888" s="202">
        <f>14.5*J887*1.2*(1+0.1+0.3)*0.6</f>
        <v>175.392</v>
      </c>
    </row>
    <row r="889" spans="1:19" s="181" customFormat="1" ht="10.199999999999999" x14ac:dyDescent="0.2">
      <c r="A889" s="237">
        <f>A883+1</f>
        <v>141</v>
      </c>
      <c r="B889" s="259">
        <v>40506</v>
      </c>
      <c r="C889" s="236" t="s">
        <v>138</v>
      </c>
      <c r="D889" s="236" t="s">
        <v>148</v>
      </c>
      <c r="E889" s="236" t="s">
        <v>958</v>
      </c>
      <c r="F889" s="236" t="s">
        <v>957</v>
      </c>
      <c r="G889" s="236" t="s">
        <v>141</v>
      </c>
      <c r="H889" s="236" t="s">
        <v>1111</v>
      </c>
      <c r="I889" s="236" t="s">
        <v>153</v>
      </c>
      <c r="J889" s="236">
        <v>12</v>
      </c>
      <c r="K889" s="241">
        <f>S889*9</f>
        <v>1446.9840000000002</v>
      </c>
      <c r="L889" s="238">
        <f>S889*3</f>
        <v>482.32800000000003</v>
      </c>
      <c r="M889" s="199" t="s">
        <v>42</v>
      </c>
      <c r="N889" s="183">
        <v>0</v>
      </c>
      <c r="O889" s="183">
        <v>0</v>
      </c>
      <c r="P889" s="236" t="s">
        <v>141</v>
      </c>
      <c r="Q889" s="244"/>
      <c r="R889" s="174"/>
      <c r="S889" s="245">
        <f>14.5*J889*1.1*(1+0.1+0.3)*0.6</f>
        <v>160.77600000000001</v>
      </c>
    </row>
    <row r="890" spans="1:19" s="181" customFormat="1" ht="20.399999999999999" x14ac:dyDescent="0.2">
      <c r="A890" s="237"/>
      <c r="B890" s="257"/>
      <c r="C890" s="257"/>
      <c r="D890" s="257"/>
      <c r="E890" s="265"/>
      <c r="F890" s="251"/>
      <c r="G890" s="236"/>
      <c r="H890" s="257"/>
      <c r="I890" s="257"/>
      <c r="J890" s="257"/>
      <c r="K890" s="437"/>
      <c r="L890" s="239"/>
      <c r="M890" s="199" t="s">
        <v>43</v>
      </c>
      <c r="N890" s="183">
        <v>0</v>
      </c>
      <c r="O890" s="183">
        <v>0</v>
      </c>
      <c r="P890" s="236"/>
      <c r="Q890" s="261"/>
      <c r="R890" s="174"/>
      <c r="S890" s="258"/>
    </row>
    <row r="891" spans="1:19" s="181" customFormat="1" ht="10.199999999999999" x14ac:dyDescent="0.2">
      <c r="A891" s="237"/>
      <c r="B891" s="257"/>
      <c r="C891" s="257"/>
      <c r="D891" s="257"/>
      <c r="E891" s="236"/>
      <c r="F891" s="251"/>
      <c r="G891" s="236"/>
      <c r="H891" s="257"/>
      <c r="I891" s="257"/>
      <c r="J891" s="257"/>
      <c r="K891" s="437"/>
      <c r="L891" s="239"/>
      <c r="M891" s="199" t="s">
        <v>44</v>
      </c>
      <c r="N891" s="183">
        <v>0</v>
      </c>
      <c r="O891" s="183">
        <v>0</v>
      </c>
      <c r="P891" s="236"/>
      <c r="Q891" s="261"/>
      <c r="R891" s="174"/>
      <c r="S891" s="258"/>
    </row>
    <row r="892" spans="1:19" s="181" customFormat="1" ht="10.199999999999999" x14ac:dyDescent="0.2">
      <c r="A892" s="237"/>
      <c r="B892" s="257"/>
      <c r="C892" s="257"/>
      <c r="D892" s="257"/>
      <c r="E892" s="257"/>
      <c r="F892" s="251"/>
      <c r="G892" s="257"/>
      <c r="H892" s="257"/>
      <c r="I892" s="257"/>
      <c r="J892" s="257"/>
      <c r="K892" s="437"/>
      <c r="L892" s="239"/>
      <c r="M892" s="199" t="s">
        <v>45</v>
      </c>
      <c r="N892" s="183">
        <v>0</v>
      </c>
      <c r="O892" s="183">
        <v>0</v>
      </c>
      <c r="P892" s="236"/>
      <c r="Q892" s="261"/>
      <c r="R892" s="174"/>
      <c r="S892" s="258"/>
    </row>
    <row r="893" spans="1:19" s="181" customFormat="1" ht="10.199999999999999" x14ac:dyDescent="0.2">
      <c r="A893" s="237"/>
      <c r="B893" s="257"/>
      <c r="C893" s="257"/>
      <c r="D893" s="257"/>
      <c r="E893" s="257"/>
      <c r="F893" s="251"/>
      <c r="G893" s="257"/>
      <c r="H893" s="257"/>
      <c r="I893" s="257"/>
      <c r="J893" s="257"/>
      <c r="K893" s="437"/>
      <c r="L893" s="239"/>
      <c r="M893" s="199" t="s">
        <v>46</v>
      </c>
      <c r="N893" s="184">
        <v>0</v>
      </c>
      <c r="O893" s="184">
        <v>0</v>
      </c>
      <c r="P893" s="236"/>
      <c r="Q893" s="261"/>
      <c r="R893" s="174"/>
      <c r="S893" s="258"/>
    </row>
    <row r="894" spans="1:19" s="392" customFormat="1" x14ac:dyDescent="0.3">
      <c r="A894" s="237"/>
      <c r="B894" s="257"/>
      <c r="C894" s="257"/>
      <c r="D894" s="257"/>
      <c r="E894" s="257"/>
      <c r="F894" s="251"/>
      <c r="G894" s="257"/>
      <c r="H894" s="257"/>
      <c r="I894" s="257"/>
      <c r="J894" s="257"/>
      <c r="K894" s="437"/>
      <c r="L894" s="239"/>
      <c r="M894" s="182" t="s">
        <v>1245</v>
      </c>
      <c r="N894" s="184">
        <v>0</v>
      </c>
      <c r="O894" s="184">
        <v>0</v>
      </c>
      <c r="P894" s="236"/>
      <c r="Q894" s="261"/>
      <c r="R894" s="398"/>
      <c r="S894" s="258"/>
    </row>
    <row r="895" spans="1:19" s="181" customFormat="1" ht="10.199999999999999" x14ac:dyDescent="0.2">
      <c r="A895" s="237">
        <f>A889+1</f>
        <v>142</v>
      </c>
      <c r="B895" s="259">
        <v>43077</v>
      </c>
      <c r="C895" s="259">
        <v>44902</v>
      </c>
      <c r="D895" s="236" t="s">
        <v>183</v>
      </c>
      <c r="E895" s="236" t="s">
        <v>958</v>
      </c>
      <c r="F895" s="236" t="s">
        <v>957</v>
      </c>
      <c r="G895" s="236" t="s">
        <v>184</v>
      </c>
      <c r="H895" s="236" t="s">
        <v>1112</v>
      </c>
      <c r="I895" s="236" t="s">
        <v>132</v>
      </c>
      <c r="J895" s="236">
        <v>100.6</v>
      </c>
      <c r="K895" s="241">
        <f>S895*9</f>
        <v>58604.731199999995</v>
      </c>
      <c r="L895" s="238">
        <f>S895*3</f>
        <v>19534.910399999997</v>
      </c>
      <c r="M895" s="199" t="s">
        <v>42</v>
      </c>
      <c r="N895" s="236" t="s">
        <v>1177</v>
      </c>
      <c r="O895" s="236"/>
      <c r="P895" s="236" t="s">
        <v>184</v>
      </c>
      <c r="Q895" s="244"/>
      <c r="R895" s="174"/>
      <c r="S895" s="245">
        <f>14.5*J895*1.2*(1+1.2+0.9)*1.2</f>
        <v>6511.6367999999993</v>
      </c>
    </row>
    <row r="896" spans="1:19" s="181" customFormat="1" ht="20.399999999999999" x14ac:dyDescent="0.2">
      <c r="A896" s="237"/>
      <c r="B896" s="244"/>
      <c r="C896" s="244"/>
      <c r="D896" s="244"/>
      <c r="E896" s="236"/>
      <c r="F896" s="236"/>
      <c r="G896" s="244"/>
      <c r="H896" s="244"/>
      <c r="I896" s="244"/>
      <c r="J896" s="244"/>
      <c r="K896" s="280"/>
      <c r="L896" s="238"/>
      <c r="M896" s="199" t="s">
        <v>43</v>
      </c>
      <c r="N896" s="236"/>
      <c r="O896" s="236"/>
      <c r="P896" s="244"/>
      <c r="Q896" s="260"/>
      <c r="R896" s="174"/>
      <c r="S896" s="249"/>
    </row>
    <row r="897" spans="1:19" s="181" customFormat="1" ht="10.199999999999999" x14ac:dyDescent="0.2">
      <c r="A897" s="237"/>
      <c r="B897" s="244"/>
      <c r="C897" s="244"/>
      <c r="D897" s="244"/>
      <c r="E897" s="236"/>
      <c r="F897" s="236"/>
      <c r="G897" s="244"/>
      <c r="H897" s="244"/>
      <c r="I897" s="244"/>
      <c r="J897" s="244"/>
      <c r="K897" s="280"/>
      <c r="L897" s="238"/>
      <c r="M897" s="199" t="s">
        <v>44</v>
      </c>
      <c r="N897" s="236"/>
      <c r="O897" s="236"/>
      <c r="P897" s="244"/>
      <c r="Q897" s="260"/>
      <c r="R897" s="174"/>
      <c r="S897" s="249"/>
    </row>
    <row r="898" spans="1:19" s="181" customFormat="1" ht="10.199999999999999" x14ac:dyDescent="0.2">
      <c r="A898" s="237"/>
      <c r="B898" s="244"/>
      <c r="C898" s="244"/>
      <c r="D898" s="244"/>
      <c r="E898" s="244"/>
      <c r="F898" s="236"/>
      <c r="G898" s="244"/>
      <c r="H898" s="244"/>
      <c r="I898" s="244"/>
      <c r="J898" s="244"/>
      <c r="K898" s="280"/>
      <c r="L898" s="238"/>
      <c r="M898" s="199" t="s">
        <v>45</v>
      </c>
      <c r="N898" s="236"/>
      <c r="O898" s="236"/>
      <c r="P898" s="244"/>
      <c r="Q898" s="260"/>
      <c r="R898" s="174"/>
      <c r="S898" s="249"/>
    </row>
    <row r="899" spans="1:19" s="181" customFormat="1" ht="10.199999999999999" x14ac:dyDescent="0.2">
      <c r="A899" s="237"/>
      <c r="B899" s="244"/>
      <c r="C899" s="244"/>
      <c r="D899" s="244"/>
      <c r="E899" s="244"/>
      <c r="F899" s="236"/>
      <c r="G899" s="244"/>
      <c r="H899" s="244"/>
      <c r="I899" s="244"/>
      <c r="J899" s="244"/>
      <c r="K899" s="280"/>
      <c r="L899" s="238"/>
      <c r="M899" s="199" t="s">
        <v>46</v>
      </c>
      <c r="N899" s="236"/>
      <c r="O899" s="236"/>
      <c r="P899" s="244"/>
      <c r="Q899" s="260"/>
      <c r="R899" s="174"/>
      <c r="S899" s="249"/>
    </row>
    <row r="900" spans="1:19" s="181" customFormat="1" ht="10.199999999999999" x14ac:dyDescent="0.2">
      <c r="A900" s="237"/>
      <c r="B900" s="244"/>
      <c r="C900" s="244"/>
      <c r="D900" s="244"/>
      <c r="E900" s="244"/>
      <c r="F900" s="236"/>
      <c r="G900" s="244"/>
      <c r="H900" s="244"/>
      <c r="I900" s="244"/>
      <c r="J900" s="244"/>
      <c r="K900" s="280"/>
      <c r="L900" s="238"/>
      <c r="M900" s="182" t="s">
        <v>1245</v>
      </c>
      <c r="N900" s="200">
        <v>202.42</v>
      </c>
      <c r="O900" s="200">
        <v>202.42</v>
      </c>
      <c r="P900" s="244"/>
      <c r="Q900" s="260"/>
      <c r="R900" s="174"/>
      <c r="S900" s="249"/>
    </row>
    <row r="901" spans="1:19" s="181" customFormat="1" ht="10.199999999999999" x14ac:dyDescent="0.2">
      <c r="A901" s="237">
        <f>A895+1</f>
        <v>143</v>
      </c>
      <c r="B901" s="259">
        <v>43114</v>
      </c>
      <c r="C901" s="259">
        <v>44939</v>
      </c>
      <c r="D901" s="236" t="s">
        <v>188</v>
      </c>
      <c r="E901" s="236" t="s">
        <v>958</v>
      </c>
      <c r="F901" s="236" t="s">
        <v>957</v>
      </c>
      <c r="G901" s="236" t="s">
        <v>190</v>
      </c>
      <c r="H901" s="236" t="s">
        <v>1113</v>
      </c>
      <c r="I901" s="236" t="s">
        <v>1176</v>
      </c>
      <c r="J901" s="236">
        <v>37.1</v>
      </c>
      <c r="K901" s="241">
        <f>S901*9</f>
        <v>21612.679200000002</v>
      </c>
      <c r="L901" s="238">
        <f>S901*3</f>
        <v>7204.2264000000005</v>
      </c>
      <c r="M901" s="199" t="s">
        <v>42</v>
      </c>
      <c r="N901" s="236" t="s">
        <v>1177</v>
      </c>
      <c r="O901" s="236"/>
      <c r="P901" s="236" t="s">
        <v>190</v>
      </c>
      <c r="Q901" s="244"/>
      <c r="R901" s="174"/>
      <c r="S901" s="245">
        <f>14.5*J901*1.2*(1+1.2+0.9)*1.2</f>
        <v>2401.4088000000002</v>
      </c>
    </row>
    <row r="902" spans="1:19" s="181" customFormat="1" ht="20.399999999999999" x14ac:dyDescent="0.2">
      <c r="A902" s="237"/>
      <c r="B902" s="244"/>
      <c r="C902" s="244"/>
      <c r="D902" s="244"/>
      <c r="E902" s="236"/>
      <c r="F902" s="236"/>
      <c r="G902" s="244"/>
      <c r="H902" s="244"/>
      <c r="I902" s="244"/>
      <c r="J902" s="244"/>
      <c r="K902" s="280"/>
      <c r="L902" s="238"/>
      <c r="M902" s="199" t="s">
        <v>43</v>
      </c>
      <c r="N902" s="236"/>
      <c r="O902" s="236"/>
      <c r="P902" s="244"/>
      <c r="Q902" s="260"/>
      <c r="R902" s="174"/>
      <c r="S902" s="249"/>
    </row>
    <row r="903" spans="1:19" s="181" customFormat="1" ht="10.199999999999999" x14ac:dyDescent="0.2">
      <c r="A903" s="237"/>
      <c r="B903" s="244"/>
      <c r="C903" s="244"/>
      <c r="D903" s="244"/>
      <c r="E903" s="236"/>
      <c r="F903" s="236"/>
      <c r="G903" s="244"/>
      <c r="H903" s="244"/>
      <c r="I903" s="244"/>
      <c r="J903" s="244"/>
      <c r="K903" s="280"/>
      <c r="L903" s="238"/>
      <c r="M903" s="199" t="s">
        <v>44</v>
      </c>
      <c r="N903" s="236"/>
      <c r="O903" s="236"/>
      <c r="P903" s="244"/>
      <c r="Q903" s="260"/>
      <c r="R903" s="174"/>
      <c r="S903" s="249"/>
    </row>
    <row r="904" spans="1:19" s="181" customFormat="1" ht="10.199999999999999" x14ac:dyDescent="0.2">
      <c r="A904" s="237"/>
      <c r="B904" s="244"/>
      <c r="C904" s="244"/>
      <c r="D904" s="244"/>
      <c r="E904" s="244"/>
      <c r="F904" s="236"/>
      <c r="G904" s="244"/>
      <c r="H904" s="244"/>
      <c r="I904" s="244"/>
      <c r="J904" s="244"/>
      <c r="K904" s="280"/>
      <c r="L904" s="238"/>
      <c r="M904" s="199" t="s">
        <v>45</v>
      </c>
      <c r="N904" s="236"/>
      <c r="O904" s="236"/>
      <c r="P904" s="244"/>
      <c r="Q904" s="260"/>
      <c r="R904" s="174"/>
      <c r="S904" s="249"/>
    </row>
    <row r="905" spans="1:19" s="181" customFormat="1" ht="10.199999999999999" x14ac:dyDescent="0.2">
      <c r="A905" s="237"/>
      <c r="B905" s="244"/>
      <c r="C905" s="244"/>
      <c r="D905" s="244"/>
      <c r="E905" s="244"/>
      <c r="F905" s="236"/>
      <c r="G905" s="244"/>
      <c r="H905" s="244"/>
      <c r="I905" s="244"/>
      <c r="J905" s="244"/>
      <c r="K905" s="280"/>
      <c r="L905" s="238"/>
      <c r="M905" s="199" t="s">
        <v>46</v>
      </c>
      <c r="N905" s="236"/>
      <c r="O905" s="236"/>
      <c r="P905" s="244"/>
      <c r="Q905" s="260"/>
      <c r="R905" s="174"/>
      <c r="S905" s="249"/>
    </row>
    <row r="906" spans="1:19" s="181" customFormat="1" ht="10.199999999999999" x14ac:dyDescent="0.2">
      <c r="A906" s="237"/>
      <c r="B906" s="244"/>
      <c r="C906" s="244"/>
      <c r="D906" s="244"/>
      <c r="E906" s="244"/>
      <c r="F906" s="236"/>
      <c r="G906" s="244"/>
      <c r="H906" s="244"/>
      <c r="I906" s="244"/>
      <c r="J906" s="244"/>
      <c r="K906" s="280"/>
      <c r="L906" s="238"/>
      <c r="M906" s="182" t="s">
        <v>1245</v>
      </c>
      <c r="N906" s="200">
        <v>74.680000000000007</v>
      </c>
      <c r="O906" s="200">
        <v>74.680000000000007</v>
      </c>
      <c r="P906" s="244"/>
      <c r="Q906" s="260"/>
      <c r="R906" s="174"/>
      <c r="S906" s="249"/>
    </row>
    <row r="907" spans="1:19" s="181" customFormat="1" ht="10.199999999999999" x14ac:dyDescent="0.2">
      <c r="A907" s="237">
        <f>A901+1</f>
        <v>144</v>
      </c>
      <c r="B907" s="259">
        <v>42523</v>
      </c>
      <c r="C907" s="259">
        <v>46175</v>
      </c>
      <c r="D907" s="236" t="s">
        <v>261</v>
      </c>
      <c r="E907" s="236" t="s">
        <v>958</v>
      </c>
      <c r="F907" s="236" t="s">
        <v>957</v>
      </c>
      <c r="G907" s="236" t="s">
        <v>263</v>
      </c>
      <c r="H907" s="236" t="s">
        <v>1114</v>
      </c>
      <c r="I907" s="236" t="s">
        <v>267</v>
      </c>
      <c r="J907" s="236">
        <v>62.6</v>
      </c>
      <c r="K907" s="241">
        <f>S907*9</f>
        <v>7999.3785599999992</v>
      </c>
      <c r="L907" s="238">
        <f>S907*3</f>
        <v>2666.4595199999994</v>
      </c>
      <c r="M907" s="199" t="s">
        <v>42</v>
      </c>
      <c r="N907" s="236" t="s">
        <v>1142</v>
      </c>
      <c r="O907" s="251"/>
      <c r="P907" s="236" t="s">
        <v>263</v>
      </c>
      <c r="Q907" s="244"/>
      <c r="R907" s="174"/>
      <c r="S907" s="245">
        <f>14.5*J907*1.2*(1+1.2*0.3)*0.6</f>
        <v>888.81983999999989</v>
      </c>
    </row>
    <row r="908" spans="1:19" s="181" customFormat="1" ht="20.399999999999999" x14ac:dyDescent="0.2">
      <c r="A908" s="237"/>
      <c r="B908" s="257"/>
      <c r="C908" s="257"/>
      <c r="D908" s="257"/>
      <c r="E908" s="265"/>
      <c r="F908" s="251"/>
      <c r="G908" s="257"/>
      <c r="H908" s="251"/>
      <c r="I908" s="257"/>
      <c r="J908" s="257"/>
      <c r="K908" s="437"/>
      <c r="L908" s="239"/>
      <c r="M908" s="199" t="s">
        <v>43</v>
      </c>
      <c r="N908" s="251"/>
      <c r="O908" s="251"/>
      <c r="P908" s="257"/>
      <c r="Q908" s="261"/>
      <c r="R908" s="174"/>
      <c r="S908" s="258"/>
    </row>
    <row r="909" spans="1:19" s="181" customFormat="1" ht="10.199999999999999" x14ac:dyDescent="0.2">
      <c r="A909" s="237"/>
      <c r="B909" s="257"/>
      <c r="C909" s="257"/>
      <c r="D909" s="257"/>
      <c r="E909" s="236"/>
      <c r="F909" s="251"/>
      <c r="G909" s="257"/>
      <c r="H909" s="251"/>
      <c r="I909" s="257"/>
      <c r="J909" s="257"/>
      <c r="K909" s="437"/>
      <c r="L909" s="239"/>
      <c r="M909" s="199" t="s">
        <v>44</v>
      </c>
      <c r="N909" s="251"/>
      <c r="O909" s="251"/>
      <c r="P909" s="257"/>
      <c r="Q909" s="261"/>
      <c r="R909" s="174"/>
      <c r="S909" s="258"/>
    </row>
    <row r="910" spans="1:19" s="181" customFormat="1" ht="10.199999999999999" x14ac:dyDescent="0.2">
      <c r="A910" s="237"/>
      <c r="B910" s="257"/>
      <c r="C910" s="257"/>
      <c r="D910" s="257"/>
      <c r="E910" s="257"/>
      <c r="F910" s="251"/>
      <c r="G910" s="257"/>
      <c r="H910" s="251"/>
      <c r="I910" s="257"/>
      <c r="J910" s="257"/>
      <c r="K910" s="437"/>
      <c r="L910" s="239"/>
      <c r="M910" s="199" t="s">
        <v>45</v>
      </c>
      <c r="N910" s="251"/>
      <c r="O910" s="251"/>
      <c r="P910" s="257"/>
      <c r="Q910" s="261"/>
      <c r="R910" s="174"/>
      <c r="S910" s="258"/>
    </row>
    <row r="911" spans="1:19" s="181" customFormat="1" ht="10.199999999999999" x14ac:dyDescent="0.2">
      <c r="A911" s="237"/>
      <c r="B911" s="257"/>
      <c r="C911" s="257"/>
      <c r="D911" s="257"/>
      <c r="E911" s="257"/>
      <c r="F911" s="251"/>
      <c r="G911" s="257"/>
      <c r="H911" s="251"/>
      <c r="I911" s="257"/>
      <c r="J911" s="257"/>
      <c r="K911" s="437"/>
      <c r="L911" s="239"/>
      <c r="M911" s="199" t="s">
        <v>46</v>
      </c>
      <c r="N911" s="251"/>
      <c r="O911" s="251"/>
      <c r="P911" s="257"/>
      <c r="Q911" s="261"/>
      <c r="R911" s="174"/>
      <c r="S911" s="258"/>
    </row>
    <row r="912" spans="1:19" s="392" customFormat="1" x14ac:dyDescent="0.3">
      <c r="A912" s="237"/>
      <c r="B912" s="257"/>
      <c r="C912" s="257"/>
      <c r="D912" s="257"/>
      <c r="E912" s="257"/>
      <c r="F912" s="251"/>
      <c r="G912" s="257"/>
      <c r="H912" s="251"/>
      <c r="I912" s="257"/>
      <c r="J912" s="257"/>
      <c r="K912" s="437"/>
      <c r="L912" s="239"/>
      <c r="M912" s="182" t="s">
        <v>1245</v>
      </c>
      <c r="N912" s="200">
        <v>117.8</v>
      </c>
      <c r="O912" s="200">
        <v>117.8</v>
      </c>
      <c r="P912" s="257"/>
      <c r="Q912" s="261"/>
      <c r="R912" s="398"/>
      <c r="S912" s="258"/>
    </row>
    <row r="913" spans="1:19" s="181" customFormat="1" ht="10.199999999999999" x14ac:dyDescent="0.2">
      <c r="A913" s="237">
        <f>A907+1</f>
        <v>145</v>
      </c>
      <c r="B913" s="259">
        <v>43894</v>
      </c>
      <c r="C913" s="259">
        <v>44926</v>
      </c>
      <c r="D913" s="236" t="s">
        <v>350</v>
      </c>
      <c r="E913" s="236" t="s">
        <v>958</v>
      </c>
      <c r="F913" s="236" t="s">
        <v>957</v>
      </c>
      <c r="G913" s="236" t="s">
        <v>352</v>
      </c>
      <c r="H913" s="236" t="s">
        <v>1250</v>
      </c>
      <c r="I913" s="236" t="s">
        <v>354</v>
      </c>
      <c r="J913" s="236">
        <v>14</v>
      </c>
      <c r="K913" s="241">
        <f>S913*9</f>
        <v>8155.7279999999992</v>
      </c>
      <c r="L913" s="238">
        <f>S913*3</f>
        <v>2718.5759999999996</v>
      </c>
      <c r="M913" s="199" t="s">
        <v>42</v>
      </c>
      <c r="N913" s="236" t="s">
        <v>1177</v>
      </c>
      <c r="O913" s="236"/>
      <c r="P913" s="236" t="s">
        <v>352</v>
      </c>
      <c r="Q913" s="244"/>
      <c r="R913" s="174"/>
      <c r="S913" s="245">
        <f>14.5*J913*1.2*(1+1.2+0.9)*1.2</f>
        <v>906.19199999999989</v>
      </c>
    </row>
    <row r="914" spans="1:19" s="181" customFormat="1" ht="20.399999999999999" x14ac:dyDescent="0.2">
      <c r="A914" s="237"/>
      <c r="B914" s="244"/>
      <c r="C914" s="244"/>
      <c r="D914" s="236"/>
      <c r="E914" s="236"/>
      <c r="F914" s="236"/>
      <c r="G914" s="244"/>
      <c r="H914" s="244"/>
      <c r="I914" s="244"/>
      <c r="J914" s="244"/>
      <c r="K914" s="280"/>
      <c r="L914" s="238"/>
      <c r="M914" s="199" t="s">
        <v>43</v>
      </c>
      <c r="N914" s="236"/>
      <c r="O914" s="236"/>
      <c r="P914" s="244"/>
      <c r="Q914" s="260"/>
      <c r="R914" s="174"/>
      <c r="S914" s="249"/>
    </row>
    <row r="915" spans="1:19" s="181" customFormat="1" ht="10.199999999999999" x14ac:dyDescent="0.2">
      <c r="A915" s="237"/>
      <c r="B915" s="244"/>
      <c r="C915" s="244"/>
      <c r="D915" s="236"/>
      <c r="E915" s="236"/>
      <c r="F915" s="236"/>
      <c r="G915" s="244"/>
      <c r="H915" s="244"/>
      <c r="I915" s="244"/>
      <c r="J915" s="244"/>
      <c r="K915" s="280"/>
      <c r="L915" s="238"/>
      <c r="M915" s="199" t="s">
        <v>44</v>
      </c>
      <c r="N915" s="236"/>
      <c r="O915" s="236"/>
      <c r="P915" s="244"/>
      <c r="Q915" s="260"/>
      <c r="R915" s="174"/>
      <c r="S915" s="249"/>
    </row>
    <row r="916" spans="1:19" s="181" customFormat="1" ht="10.199999999999999" x14ac:dyDescent="0.2">
      <c r="A916" s="237"/>
      <c r="B916" s="244"/>
      <c r="C916" s="244"/>
      <c r="D916" s="236"/>
      <c r="E916" s="244"/>
      <c r="F916" s="236"/>
      <c r="G916" s="244"/>
      <c r="H916" s="244"/>
      <c r="I916" s="244"/>
      <c r="J916" s="244"/>
      <c r="K916" s="280"/>
      <c r="L916" s="238"/>
      <c r="M916" s="199" t="s">
        <v>45</v>
      </c>
      <c r="N916" s="236"/>
      <c r="O916" s="236"/>
      <c r="P916" s="244"/>
      <c r="Q916" s="260"/>
      <c r="R916" s="174"/>
      <c r="S916" s="249"/>
    </row>
    <row r="917" spans="1:19" s="181" customFormat="1" ht="10.199999999999999" x14ac:dyDescent="0.2">
      <c r="A917" s="237"/>
      <c r="B917" s="244"/>
      <c r="C917" s="244"/>
      <c r="D917" s="236"/>
      <c r="E917" s="244"/>
      <c r="F917" s="236"/>
      <c r="G917" s="244"/>
      <c r="H917" s="244"/>
      <c r="I917" s="244"/>
      <c r="J917" s="244"/>
      <c r="K917" s="280"/>
      <c r="L917" s="238"/>
      <c r="M917" s="199" t="s">
        <v>46</v>
      </c>
      <c r="N917" s="236"/>
      <c r="O917" s="236"/>
      <c r="P917" s="244"/>
      <c r="Q917" s="260"/>
      <c r="R917" s="174"/>
      <c r="S917" s="249"/>
    </row>
    <row r="918" spans="1:19" s="181" customFormat="1" ht="10.199999999999999" x14ac:dyDescent="0.2">
      <c r="A918" s="237"/>
      <c r="B918" s="244"/>
      <c r="C918" s="244"/>
      <c r="D918" s="236"/>
      <c r="E918" s="244"/>
      <c r="F918" s="236"/>
      <c r="G918" s="244"/>
      <c r="H918" s="244"/>
      <c r="I918" s="244"/>
      <c r="J918" s="244"/>
      <c r="K918" s="280"/>
      <c r="L918" s="238"/>
      <c r="M918" s="182" t="s">
        <v>1245</v>
      </c>
      <c r="N918" s="200">
        <v>27.44</v>
      </c>
      <c r="O918" s="200">
        <v>27.44</v>
      </c>
      <c r="P918" s="244"/>
      <c r="Q918" s="260"/>
      <c r="R918" s="174"/>
      <c r="S918" s="249"/>
    </row>
    <row r="919" spans="1:19" s="181" customFormat="1" ht="10.199999999999999" x14ac:dyDescent="0.2">
      <c r="A919" s="237">
        <f>A913+1</f>
        <v>146</v>
      </c>
      <c r="B919" s="259">
        <v>44407</v>
      </c>
      <c r="C919" s="236" t="s">
        <v>531</v>
      </c>
      <c r="D919" s="236" t="s">
        <v>532</v>
      </c>
      <c r="E919" s="236" t="s">
        <v>958</v>
      </c>
      <c r="F919" s="236" t="s">
        <v>957</v>
      </c>
      <c r="G919" s="236" t="s">
        <v>141</v>
      </c>
      <c r="H919" s="247" t="s">
        <v>1115</v>
      </c>
      <c r="I919" s="243" t="s">
        <v>536</v>
      </c>
      <c r="J919" s="248">
        <v>1</v>
      </c>
      <c r="K919" s="237">
        <f>(S919+S921)*9</f>
        <v>450.22499999999997</v>
      </c>
      <c r="L919" s="238">
        <f>(S919+S921)*3</f>
        <v>150.07499999999999</v>
      </c>
      <c r="M919" s="199" t="s">
        <v>42</v>
      </c>
      <c r="N919" s="236" t="s">
        <v>1142</v>
      </c>
      <c r="O919" s="251"/>
      <c r="P919" s="236" t="s">
        <v>141</v>
      </c>
      <c r="Q919" s="244"/>
      <c r="R919" s="174"/>
      <c r="S919" s="245">
        <f>14.5*J919*1.2*(1+1.2+0.3)*0.6</f>
        <v>26.099999999999998</v>
      </c>
    </row>
    <row r="920" spans="1:19" s="181" customFormat="1" ht="20.399999999999999" x14ac:dyDescent="0.2">
      <c r="A920" s="237"/>
      <c r="B920" s="265"/>
      <c r="C920" s="265"/>
      <c r="D920" s="265"/>
      <c r="E920" s="265"/>
      <c r="F920" s="251"/>
      <c r="G920" s="265"/>
      <c r="H920" s="261"/>
      <c r="I920" s="265"/>
      <c r="J920" s="251"/>
      <c r="K920" s="240"/>
      <c r="L920" s="239"/>
      <c r="M920" s="199" t="s">
        <v>43</v>
      </c>
      <c r="N920" s="251"/>
      <c r="O920" s="251"/>
      <c r="P920" s="265"/>
      <c r="Q920" s="261"/>
      <c r="R920" s="174"/>
      <c r="S920" s="407"/>
    </row>
    <row r="921" spans="1:19" s="181" customFormat="1" ht="10.199999999999999" x14ac:dyDescent="0.2">
      <c r="A921" s="237"/>
      <c r="B921" s="257"/>
      <c r="C921" s="257"/>
      <c r="D921" s="257"/>
      <c r="E921" s="257"/>
      <c r="F921" s="251"/>
      <c r="G921" s="257"/>
      <c r="H921" s="247" t="s">
        <v>1116</v>
      </c>
      <c r="I921" s="257"/>
      <c r="J921" s="248">
        <v>1</v>
      </c>
      <c r="K921" s="240"/>
      <c r="L921" s="239"/>
      <c r="M921" s="199" t="s">
        <v>44</v>
      </c>
      <c r="N921" s="251"/>
      <c r="O921" s="251"/>
      <c r="P921" s="257"/>
      <c r="Q921" s="261"/>
      <c r="R921" s="174"/>
      <c r="S921" s="245">
        <f>14.5*J921*1.1*(1+1.2+0.3)*0.6</f>
        <v>23.925000000000001</v>
      </c>
    </row>
    <row r="922" spans="1:19" s="181" customFormat="1" ht="10.199999999999999" x14ac:dyDescent="0.2">
      <c r="A922" s="237"/>
      <c r="B922" s="257"/>
      <c r="C922" s="257"/>
      <c r="D922" s="257"/>
      <c r="E922" s="257"/>
      <c r="F922" s="251"/>
      <c r="G922" s="257"/>
      <c r="H922" s="257"/>
      <c r="I922" s="257"/>
      <c r="J922" s="257"/>
      <c r="K922" s="240"/>
      <c r="L922" s="239"/>
      <c r="M922" s="199" t="s">
        <v>45</v>
      </c>
      <c r="N922" s="251"/>
      <c r="O922" s="251"/>
      <c r="P922" s="257"/>
      <c r="Q922" s="261"/>
      <c r="R922" s="174"/>
      <c r="S922" s="258"/>
    </row>
    <row r="923" spans="1:19" s="181" customFormat="1" ht="10.199999999999999" x14ac:dyDescent="0.2">
      <c r="A923" s="237"/>
      <c r="B923" s="257"/>
      <c r="C923" s="257"/>
      <c r="D923" s="257"/>
      <c r="E923" s="257"/>
      <c r="F923" s="251"/>
      <c r="G923" s="257"/>
      <c r="H923" s="257"/>
      <c r="I923" s="257"/>
      <c r="J923" s="257"/>
      <c r="K923" s="240"/>
      <c r="L923" s="239"/>
      <c r="M923" s="199" t="s">
        <v>46</v>
      </c>
      <c r="N923" s="251"/>
      <c r="O923" s="251"/>
      <c r="P923" s="257"/>
      <c r="Q923" s="261"/>
      <c r="R923" s="174"/>
      <c r="S923" s="258"/>
    </row>
    <row r="924" spans="1:19" s="392" customFormat="1" x14ac:dyDescent="0.3">
      <c r="A924" s="237"/>
      <c r="B924" s="257"/>
      <c r="C924" s="257"/>
      <c r="D924" s="257"/>
      <c r="E924" s="257"/>
      <c r="F924" s="251"/>
      <c r="G924" s="257"/>
      <c r="H924" s="257"/>
      <c r="I924" s="257"/>
      <c r="J924" s="257"/>
      <c r="K924" s="240"/>
      <c r="L924" s="239"/>
      <c r="M924" s="182" t="s">
        <v>1245</v>
      </c>
      <c r="N924" s="195">
        <v>0</v>
      </c>
      <c r="O924" s="195">
        <v>0</v>
      </c>
      <c r="P924" s="257"/>
      <c r="Q924" s="261"/>
      <c r="R924" s="398"/>
      <c r="S924" s="258"/>
    </row>
    <row r="925" spans="1:19" s="181" customFormat="1" ht="10.199999999999999" x14ac:dyDescent="0.2">
      <c r="A925" s="237">
        <f>A919+1</f>
        <v>147</v>
      </c>
      <c r="B925" s="243">
        <v>44497</v>
      </c>
      <c r="C925" s="243">
        <v>44466</v>
      </c>
      <c r="D925" s="236" t="s">
        <v>681</v>
      </c>
      <c r="E925" s="236" t="s">
        <v>1077</v>
      </c>
      <c r="F925" s="236" t="s">
        <v>957</v>
      </c>
      <c r="G925" s="247" t="s">
        <v>682</v>
      </c>
      <c r="H925" s="247" t="s">
        <v>1117</v>
      </c>
      <c r="I925" s="247" t="s">
        <v>686</v>
      </c>
      <c r="J925" s="250">
        <v>655.7</v>
      </c>
      <c r="K925" s="238">
        <f>S925*9</f>
        <v>26526.343500000006</v>
      </c>
      <c r="L925" s="238">
        <f>S925*3</f>
        <v>8842.1145000000015</v>
      </c>
      <c r="M925" s="199" t="s">
        <v>42</v>
      </c>
      <c r="N925" s="236" t="s">
        <v>1142</v>
      </c>
      <c r="O925" s="251"/>
      <c r="P925" s="247" t="s">
        <v>682</v>
      </c>
      <c r="Q925" s="236"/>
      <c r="R925" s="174"/>
      <c r="S925" s="245">
        <f>14.5*J925*1*(1+1.2+0.9)*0.1</f>
        <v>2947.3715000000007</v>
      </c>
    </row>
    <row r="926" spans="1:19" s="181" customFormat="1" ht="20.399999999999999" x14ac:dyDescent="0.2">
      <c r="A926" s="237"/>
      <c r="B926" s="257"/>
      <c r="C926" s="257"/>
      <c r="D926" s="257"/>
      <c r="E926" s="236"/>
      <c r="F926" s="251"/>
      <c r="G926" s="257"/>
      <c r="H926" s="257"/>
      <c r="I926" s="257"/>
      <c r="J926" s="257"/>
      <c r="K926" s="239"/>
      <c r="L926" s="239"/>
      <c r="M926" s="199" t="s">
        <v>43</v>
      </c>
      <c r="N926" s="251"/>
      <c r="O926" s="251"/>
      <c r="P926" s="257"/>
      <c r="Q926" s="283"/>
      <c r="R926" s="174"/>
      <c r="S926" s="258"/>
    </row>
    <row r="927" spans="1:19" s="181" customFormat="1" ht="10.199999999999999" x14ac:dyDescent="0.2">
      <c r="A927" s="237"/>
      <c r="B927" s="257"/>
      <c r="C927" s="257"/>
      <c r="D927" s="257"/>
      <c r="E927" s="257"/>
      <c r="F927" s="251"/>
      <c r="G927" s="257"/>
      <c r="H927" s="257"/>
      <c r="I927" s="257"/>
      <c r="J927" s="257"/>
      <c r="K927" s="239"/>
      <c r="L927" s="239"/>
      <c r="M927" s="199" t="s">
        <v>44</v>
      </c>
      <c r="N927" s="251"/>
      <c r="O927" s="251"/>
      <c r="P927" s="257"/>
      <c r="Q927" s="283"/>
      <c r="R927" s="174"/>
      <c r="S927" s="258"/>
    </row>
    <row r="928" spans="1:19" s="181" customFormat="1" ht="10.199999999999999" x14ac:dyDescent="0.2">
      <c r="A928" s="237"/>
      <c r="B928" s="257"/>
      <c r="C928" s="257"/>
      <c r="D928" s="257"/>
      <c r="E928" s="257"/>
      <c r="F928" s="251"/>
      <c r="G928" s="257"/>
      <c r="H928" s="257"/>
      <c r="I928" s="257"/>
      <c r="J928" s="257"/>
      <c r="K928" s="239"/>
      <c r="L928" s="239"/>
      <c r="M928" s="199" t="s">
        <v>45</v>
      </c>
      <c r="N928" s="251"/>
      <c r="O928" s="251"/>
      <c r="P928" s="257"/>
      <c r="Q928" s="283"/>
      <c r="R928" s="174"/>
      <c r="S928" s="258"/>
    </row>
    <row r="929" spans="1:19" s="181" customFormat="1" ht="10.199999999999999" x14ac:dyDescent="0.2">
      <c r="A929" s="237"/>
      <c r="B929" s="257"/>
      <c r="C929" s="257"/>
      <c r="D929" s="257"/>
      <c r="E929" s="257"/>
      <c r="F929" s="251"/>
      <c r="G929" s="257"/>
      <c r="H929" s="257"/>
      <c r="I929" s="257"/>
      <c r="J929" s="257"/>
      <c r="K929" s="239"/>
      <c r="L929" s="239"/>
      <c r="M929" s="199" t="s">
        <v>46</v>
      </c>
      <c r="N929" s="251"/>
      <c r="O929" s="251"/>
      <c r="P929" s="257"/>
      <c r="Q929" s="283"/>
      <c r="R929" s="174"/>
      <c r="S929" s="258"/>
    </row>
    <row r="930" spans="1:19" s="392" customFormat="1" x14ac:dyDescent="0.3">
      <c r="A930" s="237"/>
      <c r="B930" s="257"/>
      <c r="C930" s="257"/>
      <c r="D930" s="257"/>
      <c r="E930" s="257"/>
      <c r="F930" s="251"/>
      <c r="G930" s="257"/>
      <c r="H930" s="257"/>
      <c r="I930" s="257"/>
      <c r="J930" s="257"/>
      <c r="K930" s="239"/>
      <c r="L930" s="239"/>
      <c r="M930" s="199" t="s">
        <v>1245</v>
      </c>
      <c r="N930" s="237" t="s">
        <v>1177</v>
      </c>
      <c r="O930" s="284"/>
      <c r="P930" s="257"/>
      <c r="Q930" s="283"/>
      <c r="R930" s="398"/>
      <c r="S930" s="258"/>
    </row>
    <row r="931" spans="1:19" s="181" customFormat="1" ht="10.199999999999999" x14ac:dyDescent="0.2">
      <c r="A931" s="237">
        <f>A925+1</f>
        <v>148</v>
      </c>
      <c r="B931" s="259">
        <v>43301</v>
      </c>
      <c r="C931" s="259">
        <v>46953</v>
      </c>
      <c r="D931" s="236" t="s">
        <v>1147</v>
      </c>
      <c r="E931" s="236" t="s">
        <v>1082</v>
      </c>
      <c r="F931" s="236" t="s">
        <v>957</v>
      </c>
      <c r="G931" s="236" t="s">
        <v>798</v>
      </c>
      <c r="H931" s="236" t="s">
        <v>1118</v>
      </c>
      <c r="I931" s="236" t="s">
        <v>801</v>
      </c>
      <c r="J931" s="236">
        <f>333.4+454.6</f>
        <v>788</v>
      </c>
      <c r="K931" s="238">
        <f>S931*9</f>
        <v>154251</v>
      </c>
      <c r="L931" s="238">
        <f>S931*3</f>
        <v>51417</v>
      </c>
      <c r="M931" s="199" t="s">
        <v>42</v>
      </c>
      <c r="N931" s="241" t="s">
        <v>1146</v>
      </c>
      <c r="O931" s="284"/>
      <c r="P931" s="284"/>
      <c r="Q931" s="244"/>
      <c r="R931" s="174"/>
      <c r="S931" s="245">
        <f>14.5*J931*1*(1+1.2+0.3)*0.6</f>
        <v>17139</v>
      </c>
    </row>
    <row r="932" spans="1:19" s="181" customFormat="1" ht="20.399999999999999" x14ac:dyDescent="0.2">
      <c r="A932" s="237"/>
      <c r="B932" s="257"/>
      <c r="C932" s="257"/>
      <c r="D932" s="257"/>
      <c r="E932" s="236"/>
      <c r="F932" s="251"/>
      <c r="G932" s="251"/>
      <c r="H932" s="257"/>
      <c r="I932" s="257"/>
      <c r="J932" s="257"/>
      <c r="K932" s="239"/>
      <c r="L932" s="239"/>
      <c r="M932" s="199" t="s">
        <v>43</v>
      </c>
      <c r="N932" s="284"/>
      <c r="O932" s="284"/>
      <c r="P932" s="284"/>
      <c r="Q932" s="261"/>
      <c r="R932" s="174"/>
      <c r="S932" s="258"/>
    </row>
    <row r="933" spans="1:19" s="181" customFormat="1" ht="10.199999999999999" x14ac:dyDescent="0.2">
      <c r="A933" s="237"/>
      <c r="B933" s="257"/>
      <c r="C933" s="257"/>
      <c r="D933" s="257"/>
      <c r="E933" s="257"/>
      <c r="F933" s="251"/>
      <c r="G933" s="251"/>
      <c r="H933" s="257"/>
      <c r="I933" s="257"/>
      <c r="J933" s="257"/>
      <c r="K933" s="239"/>
      <c r="L933" s="239"/>
      <c r="M933" s="199" t="s">
        <v>44</v>
      </c>
      <c r="N933" s="284"/>
      <c r="O933" s="284"/>
      <c r="P933" s="284"/>
      <c r="Q933" s="261"/>
      <c r="R933" s="174"/>
      <c r="S933" s="258"/>
    </row>
    <row r="934" spans="1:19" s="181" customFormat="1" ht="10.199999999999999" x14ac:dyDescent="0.2">
      <c r="A934" s="237"/>
      <c r="B934" s="257"/>
      <c r="C934" s="257"/>
      <c r="D934" s="257"/>
      <c r="E934" s="257"/>
      <c r="F934" s="251"/>
      <c r="G934" s="251"/>
      <c r="H934" s="257"/>
      <c r="I934" s="257"/>
      <c r="J934" s="257"/>
      <c r="K934" s="239"/>
      <c r="L934" s="239"/>
      <c r="M934" s="199" t="s">
        <v>45</v>
      </c>
      <c r="N934" s="284"/>
      <c r="O934" s="284"/>
      <c r="P934" s="284"/>
      <c r="Q934" s="261"/>
      <c r="R934" s="174"/>
      <c r="S934" s="258"/>
    </row>
    <row r="935" spans="1:19" s="181" customFormat="1" ht="10.199999999999999" x14ac:dyDescent="0.2">
      <c r="A935" s="237"/>
      <c r="B935" s="257"/>
      <c r="C935" s="257"/>
      <c r="D935" s="257"/>
      <c r="E935" s="257"/>
      <c r="F935" s="251"/>
      <c r="G935" s="251"/>
      <c r="H935" s="257"/>
      <c r="I935" s="257"/>
      <c r="J935" s="257"/>
      <c r="K935" s="239"/>
      <c r="L935" s="239"/>
      <c r="M935" s="199" t="s">
        <v>46</v>
      </c>
      <c r="N935" s="284"/>
      <c r="O935" s="284"/>
      <c r="P935" s="284"/>
      <c r="Q935" s="261"/>
      <c r="R935" s="174"/>
      <c r="S935" s="258"/>
    </row>
    <row r="936" spans="1:19" s="392" customFormat="1" x14ac:dyDescent="0.3">
      <c r="A936" s="237"/>
      <c r="B936" s="257"/>
      <c r="C936" s="257"/>
      <c r="D936" s="257"/>
      <c r="E936" s="257"/>
      <c r="F936" s="251"/>
      <c r="G936" s="251"/>
      <c r="H936" s="257"/>
      <c r="I936" s="257"/>
      <c r="J936" s="257"/>
      <c r="K936" s="239"/>
      <c r="L936" s="239"/>
      <c r="M936" s="199" t="s">
        <v>1245</v>
      </c>
      <c r="N936" s="238" t="s">
        <v>1177</v>
      </c>
      <c r="O936" s="276"/>
      <c r="P936" s="276"/>
      <c r="Q936" s="261"/>
      <c r="R936" s="398"/>
      <c r="S936" s="258"/>
    </row>
    <row r="937" spans="1:19" s="181" customFormat="1" ht="10.199999999999999" x14ac:dyDescent="0.2">
      <c r="A937" s="237">
        <f>A931+1</f>
        <v>149</v>
      </c>
      <c r="B937" s="259">
        <v>44774</v>
      </c>
      <c r="C937" s="259">
        <v>46599</v>
      </c>
      <c r="D937" s="236" t="s">
        <v>1229</v>
      </c>
      <c r="E937" s="236" t="s">
        <v>1041</v>
      </c>
      <c r="F937" s="236" t="s">
        <v>957</v>
      </c>
      <c r="G937" s="236" t="s">
        <v>851</v>
      </c>
      <c r="H937" s="236" t="s">
        <v>1249</v>
      </c>
      <c r="I937" s="236" t="s">
        <v>853</v>
      </c>
      <c r="J937" s="236">
        <v>15.5</v>
      </c>
      <c r="K937" s="238">
        <f>S937*9</f>
        <v>9029.5559999999987</v>
      </c>
      <c r="L937" s="238">
        <f>S937*3</f>
        <v>3009.8519999999999</v>
      </c>
      <c r="M937" s="199" t="s">
        <v>42</v>
      </c>
      <c r="N937" s="236" t="s">
        <v>1142</v>
      </c>
      <c r="O937" s="251"/>
      <c r="P937" s="236" t="s">
        <v>851</v>
      </c>
      <c r="Q937" s="244"/>
      <c r="R937" s="174"/>
      <c r="S937" s="245">
        <f>14.5*J937*1.2*(1+1.2+0.9)*1.2</f>
        <v>1003.2839999999999</v>
      </c>
    </row>
    <row r="938" spans="1:19" s="181" customFormat="1" ht="20.399999999999999" x14ac:dyDescent="0.2">
      <c r="A938" s="237"/>
      <c r="B938" s="251"/>
      <c r="C938" s="257"/>
      <c r="D938" s="257"/>
      <c r="E938" s="257"/>
      <c r="F938" s="251"/>
      <c r="G938" s="257"/>
      <c r="H938" s="257"/>
      <c r="I938" s="257"/>
      <c r="J938" s="257"/>
      <c r="K938" s="239"/>
      <c r="L938" s="239"/>
      <c r="M938" s="199" t="s">
        <v>43</v>
      </c>
      <c r="N938" s="251"/>
      <c r="O938" s="251"/>
      <c r="P938" s="257"/>
      <c r="Q938" s="261"/>
      <c r="R938" s="174"/>
      <c r="S938" s="258"/>
    </row>
    <row r="939" spans="1:19" s="181" customFormat="1" ht="10.199999999999999" x14ac:dyDescent="0.2">
      <c r="A939" s="237"/>
      <c r="B939" s="251"/>
      <c r="C939" s="257"/>
      <c r="D939" s="257"/>
      <c r="E939" s="257"/>
      <c r="F939" s="251"/>
      <c r="G939" s="257"/>
      <c r="H939" s="257"/>
      <c r="I939" s="257"/>
      <c r="J939" s="257"/>
      <c r="K939" s="239"/>
      <c r="L939" s="239"/>
      <c r="M939" s="199" t="s">
        <v>44</v>
      </c>
      <c r="N939" s="251"/>
      <c r="O939" s="251"/>
      <c r="P939" s="257"/>
      <c r="Q939" s="261"/>
      <c r="R939" s="174"/>
      <c r="S939" s="258"/>
    </row>
    <row r="940" spans="1:19" s="181" customFormat="1" ht="10.199999999999999" x14ac:dyDescent="0.2">
      <c r="A940" s="237"/>
      <c r="B940" s="251"/>
      <c r="C940" s="257"/>
      <c r="D940" s="257"/>
      <c r="E940" s="257"/>
      <c r="F940" s="251"/>
      <c r="G940" s="257"/>
      <c r="H940" s="257"/>
      <c r="I940" s="257"/>
      <c r="J940" s="257"/>
      <c r="K940" s="239"/>
      <c r="L940" s="239"/>
      <c r="M940" s="199" t="s">
        <v>45</v>
      </c>
      <c r="N940" s="251"/>
      <c r="O940" s="251"/>
      <c r="P940" s="257"/>
      <c r="Q940" s="261"/>
      <c r="R940" s="174"/>
      <c r="S940" s="258"/>
    </row>
    <row r="941" spans="1:19" s="181" customFormat="1" ht="10.199999999999999" x14ac:dyDescent="0.2">
      <c r="A941" s="237"/>
      <c r="B941" s="251"/>
      <c r="C941" s="257"/>
      <c r="D941" s="257"/>
      <c r="E941" s="257"/>
      <c r="F941" s="251"/>
      <c r="G941" s="257"/>
      <c r="H941" s="257"/>
      <c r="I941" s="257"/>
      <c r="J941" s="257"/>
      <c r="K941" s="239"/>
      <c r="L941" s="239"/>
      <c r="M941" s="199" t="s">
        <v>46</v>
      </c>
      <c r="N941" s="251"/>
      <c r="O941" s="251"/>
      <c r="P941" s="257"/>
      <c r="Q941" s="261"/>
      <c r="R941" s="174"/>
      <c r="S941" s="258"/>
    </row>
    <row r="942" spans="1:19" s="392" customFormat="1" x14ac:dyDescent="0.3">
      <c r="A942" s="237"/>
      <c r="B942" s="251"/>
      <c r="C942" s="257"/>
      <c r="D942" s="257"/>
      <c r="E942" s="257"/>
      <c r="F942" s="251"/>
      <c r="G942" s="257"/>
      <c r="H942" s="257"/>
      <c r="I942" s="257"/>
      <c r="J942" s="257"/>
      <c r="K942" s="239"/>
      <c r="L942" s="239"/>
      <c r="M942" s="199" t="s">
        <v>1245</v>
      </c>
      <c r="N942" s="237" t="s">
        <v>1177</v>
      </c>
      <c r="O942" s="284"/>
      <c r="P942" s="257"/>
      <c r="Q942" s="261"/>
      <c r="R942" s="398"/>
      <c r="S942" s="258"/>
    </row>
    <row r="943" spans="1:19" s="181" customFormat="1" ht="10.199999999999999" x14ac:dyDescent="0.2">
      <c r="A943" s="237">
        <f>A937+1</f>
        <v>150</v>
      </c>
      <c r="B943" s="259">
        <v>44774</v>
      </c>
      <c r="C943" s="259">
        <v>46599</v>
      </c>
      <c r="D943" s="236" t="s">
        <v>1230</v>
      </c>
      <c r="E943" s="236" t="s">
        <v>1041</v>
      </c>
      <c r="F943" s="236" t="s">
        <v>957</v>
      </c>
      <c r="G943" s="247" t="s">
        <v>856</v>
      </c>
      <c r="H943" s="236" t="s">
        <v>1119</v>
      </c>
      <c r="I943" s="236" t="s">
        <v>859</v>
      </c>
      <c r="J943" s="236">
        <v>145</v>
      </c>
      <c r="K943" s="238">
        <f>S943*9</f>
        <v>84470.04</v>
      </c>
      <c r="L943" s="238">
        <f>S943*3</f>
        <v>28156.68</v>
      </c>
      <c r="M943" s="199" t="s">
        <v>42</v>
      </c>
      <c r="N943" s="236" t="s">
        <v>1142</v>
      </c>
      <c r="O943" s="251"/>
      <c r="P943" s="247" t="s">
        <v>856</v>
      </c>
      <c r="Q943" s="236" t="s">
        <v>1148</v>
      </c>
      <c r="R943" s="174"/>
      <c r="S943" s="245">
        <f>14.5*J943*1.2*(1+1.2+0.9)*1.2</f>
        <v>9385.56</v>
      </c>
    </row>
    <row r="944" spans="1:19" s="181" customFormat="1" ht="20.399999999999999" x14ac:dyDescent="0.2">
      <c r="A944" s="237"/>
      <c r="B944" s="251"/>
      <c r="C944" s="257"/>
      <c r="D944" s="257"/>
      <c r="E944" s="257"/>
      <c r="F944" s="251"/>
      <c r="G944" s="251"/>
      <c r="H944" s="257"/>
      <c r="I944" s="257"/>
      <c r="J944" s="257"/>
      <c r="K944" s="239"/>
      <c r="L944" s="239"/>
      <c r="M944" s="199" t="s">
        <v>43</v>
      </c>
      <c r="N944" s="251"/>
      <c r="O944" s="251"/>
      <c r="P944" s="251"/>
      <c r="Q944" s="283"/>
      <c r="R944" s="174"/>
      <c r="S944" s="258"/>
    </row>
    <row r="945" spans="1:19" s="181" customFormat="1" ht="10.199999999999999" x14ac:dyDescent="0.2">
      <c r="A945" s="237"/>
      <c r="B945" s="251"/>
      <c r="C945" s="257"/>
      <c r="D945" s="257"/>
      <c r="E945" s="257"/>
      <c r="F945" s="251"/>
      <c r="G945" s="251"/>
      <c r="H945" s="257"/>
      <c r="I945" s="257"/>
      <c r="J945" s="257"/>
      <c r="K945" s="239"/>
      <c r="L945" s="239"/>
      <c r="M945" s="199" t="s">
        <v>44</v>
      </c>
      <c r="N945" s="251"/>
      <c r="O945" s="251"/>
      <c r="P945" s="251"/>
      <c r="Q945" s="283"/>
      <c r="R945" s="174"/>
      <c r="S945" s="258"/>
    </row>
    <row r="946" spans="1:19" s="181" customFormat="1" ht="10.199999999999999" x14ac:dyDescent="0.2">
      <c r="A946" s="237"/>
      <c r="B946" s="251"/>
      <c r="C946" s="257"/>
      <c r="D946" s="257"/>
      <c r="E946" s="257"/>
      <c r="F946" s="251"/>
      <c r="G946" s="251"/>
      <c r="H946" s="257"/>
      <c r="I946" s="257"/>
      <c r="J946" s="257"/>
      <c r="K946" s="239"/>
      <c r="L946" s="239"/>
      <c r="M946" s="199" t="s">
        <v>45</v>
      </c>
      <c r="N946" s="251"/>
      <c r="O946" s="251"/>
      <c r="P946" s="251"/>
      <c r="Q946" s="283"/>
      <c r="R946" s="174"/>
      <c r="S946" s="258"/>
    </row>
    <row r="947" spans="1:19" s="181" customFormat="1" ht="10.199999999999999" x14ac:dyDescent="0.2">
      <c r="A947" s="237"/>
      <c r="B947" s="251"/>
      <c r="C947" s="257"/>
      <c r="D947" s="257"/>
      <c r="E947" s="257"/>
      <c r="F947" s="251"/>
      <c r="G947" s="251"/>
      <c r="H947" s="257"/>
      <c r="I947" s="257"/>
      <c r="J947" s="257"/>
      <c r="K947" s="239"/>
      <c r="L947" s="239"/>
      <c r="M947" s="199" t="s">
        <v>46</v>
      </c>
      <c r="N947" s="251"/>
      <c r="O947" s="251"/>
      <c r="P947" s="251"/>
      <c r="Q947" s="283"/>
      <c r="R947" s="174"/>
      <c r="S947" s="258"/>
    </row>
    <row r="948" spans="1:19" s="392" customFormat="1" x14ac:dyDescent="0.3">
      <c r="A948" s="237"/>
      <c r="B948" s="251"/>
      <c r="C948" s="257"/>
      <c r="D948" s="257"/>
      <c r="E948" s="257"/>
      <c r="F948" s="251"/>
      <c r="G948" s="251"/>
      <c r="H948" s="257"/>
      <c r="I948" s="257"/>
      <c r="J948" s="257"/>
      <c r="K948" s="239"/>
      <c r="L948" s="239"/>
      <c r="M948" s="199" t="s">
        <v>1245</v>
      </c>
      <c r="N948" s="237" t="s">
        <v>1177</v>
      </c>
      <c r="O948" s="284"/>
      <c r="P948" s="251"/>
      <c r="Q948" s="283"/>
      <c r="R948" s="398"/>
      <c r="S948" s="258"/>
    </row>
    <row r="949" spans="1:19" s="181" customFormat="1" ht="10.199999999999999" x14ac:dyDescent="0.2">
      <c r="A949" s="421"/>
      <c r="B949" s="426" t="s">
        <v>1145</v>
      </c>
      <c r="C949" s="426"/>
      <c r="D949" s="426"/>
      <c r="E949" s="426"/>
      <c r="F949" s="426"/>
      <c r="G949" s="426"/>
      <c r="H949" s="426"/>
      <c r="I949" s="426"/>
      <c r="J949" s="241">
        <f>SUM(J883:J948)</f>
        <v>1883.9</v>
      </c>
      <c r="K949" s="241">
        <f>SUM(K883:K948)</f>
        <v>378444.22145999997</v>
      </c>
      <c r="L949" s="241">
        <f>SUM(L883:L948)</f>
        <v>126148.07381999999</v>
      </c>
      <c r="M949" s="176" t="s">
        <v>69</v>
      </c>
      <c r="N949" s="190">
        <f>N950+N951+N952+N953+N954+N955</f>
        <v>519.87</v>
      </c>
      <c r="O949" s="190">
        <f>O950+O951+O952+O953+O954+O955</f>
        <v>519.87</v>
      </c>
      <c r="P949" s="261"/>
      <c r="Q949" s="261"/>
      <c r="R949" s="174"/>
      <c r="S949" s="406"/>
    </row>
    <row r="950" spans="1:19" s="181" customFormat="1" ht="10.199999999999999" x14ac:dyDescent="0.2">
      <c r="A950" s="435"/>
      <c r="B950" s="426"/>
      <c r="C950" s="426"/>
      <c r="D950" s="426"/>
      <c r="E950" s="426"/>
      <c r="F950" s="426"/>
      <c r="G950" s="426"/>
      <c r="H950" s="426"/>
      <c r="I950" s="426"/>
      <c r="J950" s="267"/>
      <c r="K950" s="267"/>
      <c r="L950" s="267"/>
      <c r="M950" s="179" t="s">
        <v>42</v>
      </c>
      <c r="N950" s="180">
        <f>N889</f>
        <v>0</v>
      </c>
      <c r="O950" s="180">
        <f>O889</f>
        <v>0</v>
      </c>
      <c r="P950" s="261"/>
      <c r="Q950" s="261"/>
      <c r="R950" s="174"/>
      <c r="S950" s="406"/>
    </row>
    <row r="951" spans="1:19" s="181" customFormat="1" ht="20.399999999999999" x14ac:dyDescent="0.2">
      <c r="A951" s="435"/>
      <c r="B951" s="426"/>
      <c r="C951" s="426"/>
      <c r="D951" s="426"/>
      <c r="E951" s="426"/>
      <c r="F951" s="426"/>
      <c r="G951" s="426"/>
      <c r="H951" s="426"/>
      <c r="I951" s="426"/>
      <c r="J951" s="267"/>
      <c r="K951" s="267"/>
      <c r="L951" s="267"/>
      <c r="M951" s="179" t="s">
        <v>43</v>
      </c>
      <c r="N951" s="180">
        <f>N890</f>
        <v>0</v>
      </c>
      <c r="O951" s="180">
        <f>O890</f>
        <v>0</v>
      </c>
      <c r="P951" s="261"/>
      <c r="Q951" s="261"/>
      <c r="R951" s="174"/>
      <c r="S951" s="406"/>
    </row>
    <row r="952" spans="1:19" s="181" customFormat="1" ht="10.199999999999999" x14ac:dyDescent="0.2">
      <c r="A952" s="435"/>
      <c r="B952" s="426"/>
      <c r="C952" s="426"/>
      <c r="D952" s="426"/>
      <c r="E952" s="426"/>
      <c r="F952" s="426"/>
      <c r="G952" s="426"/>
      <c r="H952" s="426"/>
      <c r="I952" s="426"/>
      <c r="J952" s="267"/>
      <c r="K952" s="267"/>
      <c r="L952" s="267"/>
      <c r="M952" s="179" t="s">
        <v>44</v>
      </c>
      <c r="N952" s="180">
        <f>N891</f>
        <v>0</v>
      </c>
      <c r="O952" s="180">
        <f t="shared" ref="N952:O954" si="9">O891</f>
        <v>0</v>
      </c>
      <c r="P952" s="261"/>
      <c r="Q952" s="261"/>
      <c r="R952" s="174"/>
      <c r="S952" s="406"/>
    </row>
    <row r="953" spans="1:19" s="181" customFormat="1" ht="10.199999999999999" x14ac:dyDescent="0.2">
      <c r="A953" s="435"/>
      <c r="B953" s="426"/>
      <c r="C953" s="426"/>
      <c r="D953" s="426"/>
      <c r="E953" s="426"/>
      <c r="F953" s="426"/>
      <c r="G953" s="426"/>
      <c r="H953" s="426"/>
      <c r="I953" s="426"/>
      <c r="J953" s="267"/>
      <c r="K953" s="267"/>
      <c r="L953" s="267"/>
      <c r="M953" s="179" t="s">
        <v>45</v>
      </c>
      <c r="N953" s="180">
        <f>N892</f>
        <v>0</v>
      </c>
      <c r="O953" s="180">
        <f t="shared" si="9"/>
        <v>0</v>
      </c>
      <c r="P953" s="261"/>
      <c r="Q953" s="261"/>
      <c r="R953" s="174"/>
      <c r="S953" s="406"/>
    </row>
    <row r="954" spans="1:19" s="181" customFormat="1" ht="10.199999999999999" x14ac:dyDescent="0.2">
      <c r="A954" s="435"/>
      <c r="B954" s="426"/>
      <c r="C954" s="426"/>
      <c r="D954" s="426"/>
      <c r="E954" s="426"/>
      <c r="F954" s="426"/>
      <c r="G954" s="426"/>
      <c r="H954" s="426"/>
      <c r="I954" s="426"/>
      <c r="J954" s="267"/>
      <c r="K954" s="267"/>
      <c r="L954" s="267"/>
      <c r="M954" s="179" t="s">
        <v>46</v>
      </c>
      <c r="N954" s="180">
        <f t="shared" si="9"/>
        <v>0</v>
      </c>
      <c r="O954" s="180">
        <f t="shared" si="9"/>
        <v>0</v>
      </c>
      <c r="P954" s="261"/>
      <c r="Q954" s="261"/>
      <c r="R954" s="174"/>
      <c r="S954" s="406"/>
    </row>
    <row r="955" spans="1:19" s="181" customFormat="1" ht="10.199999999999999" x14ac:dyDescent="0.2">
      <c r="A955" s="435"/>
      <c r="B955" s="426"/>
      <c r="C955" s="426"/>
      <c r="D955" s="426"/>
      <c r="E955" s="426"/>
      <c r="F955" s="426"/>
      <c r="G955" s="426"/>
      <c r="H955" s="426"/>
      <c r="I955" s="426"/>
      <c r="J955" s="267"/>
      <c r="K955" s="267"/>
      <c r="L955" s="267"/>
      <c r="M955" s="179" t="s">
        <v>1245</v>
      </c>
      <c r="N955" s="180">
        <f>N888+N894+N900+N906+N912+N918+N924</f>
        <v>519.87</v>
      </c>
      <c r="O955" s="180">
        <f>O888+O894+O900+O906+O912+O918+O924</f>
        <v>519.87</v>
      </c>
      <c r="P955" s="261"/>
      <c r="Q955" s="261"/>
      <c r="R955" s="174"/>
      <c r="S955" s="406"/>
    </row>
    <row r="956" spans="1:19" s="181" customFormat="1" ht="10.199999999999999" x14ac:dyDescent="0.2">
      <c r="A956" s="421"/>
      <c r="B956" s="426" t="s">
        <v>66</v>
      </c>
      <c r="C956" s="426"/>
      <c r="D956" s="426"/>
      <c r="E956" s="426"/>
      <c r="F956" s="426"/>
      <c r="G956" s="426"/>
      <c r="H956" s="426"/>
      <c r="I956" s="426"/>
      <c r="J956" s="241">
        <f>J333+J599+J759+J875+J949</f>
        <v>36524.299999999996</v>
      </c>
      <c r="K956" s="241">
        <f>K333+K599+K759+K875+K949</f>
        <v>10740868.441005416</v>
      </c>
      <c r="L956" s="241">
        <f>L333+L599+L759+L875+L949</f>
        <v>3678901.0577652329</v>
      </c>
      <c r="M956" s="175" t="s">
        <v>69</v>
      </c>
      <c r="N956" s="191">
        <f>N957+N958+N959+N960+N961</f>
        <v>592984.19999999995</v>
      </c>
      <c r="O956" s="191">
        <f>O957+O958+O959+O960+O961</f>
        <v>22915.05</v>
      </c>
      <c r="P956" s="261"/>
      <c r="Q956" s="261"/>
      <c r="R956" s="174"/>
      <c r="S956" s="406"/>
    </row>
    <row r="957" spans="1:19" s="181" customFormat="1" ht="10.199999999999999" x14ac:dyDescent="0.2">
      <c r="A957" s="435"/>
      <c r="B957" s="426"/>
      <c r="C957" s="426"/>
      <c r="D957" s="426"/>
      <c r="E957" s="426"/>
      <c r="F957" s="426"/>
      <c r="G957" s="426"/>
      <c r="H957" s="426"/>
      <c r="I957" s="426"/>
      <c r="J957" s="251"/>
      <c r="K957" s="251"/>
      <c r="L957" s="251"/>
      <c r="M957" s="179" t="s">
        <v>42</v>
      </c>
      <c r="N957" s="172">
        <f>N334+N600+N760+N876+N950</f>
        <v>178645.38</v>
      </c>
      <c r="O957" s="172">
        <f>O334+O600+O760+O876+O950</f>
        <v>18694.87</v>
      </c>
      <c r="P957" s="261"/>
      <c r="Q957" s="261"/>
      <c r="R957" s="174"/>
      <c r="S957" s="406"/>
    </row>
    <row r="958" spans="1:19" s="181" customFormat="1" ht="20.399999999999999" x14ac:dyDescent="0.2">
      <c r="A958" s="435"/>
      <c r="B958" s="426"/>
      <c r="C958" s="426"/>
      <c r="D958" s="426"/>
      <c r="E958" s="426"/>
      <c r="F958" s="426"/>
      <c r="G958" s="426"/>
      <c r="H958" s="426"/>
      <c r="I958" s="426"/>
      <c r="J958" s="251"/>
      <c r="K958" s="251"/>
      <c r="L958" s="251"/>
      <c r="M958" s="179" t="s">
        <v>43</v>
      </c>
      <c r="N958" s="172">
        <f>N335+N601+N761+N877+N951</f>
        <v>30762.840000000004</v>
      </c>
      <c r="O958" s="172">
        <f>O335+O601+O761+O877+O951</f>
        <v>2700.1200000000003</v>
      </c>
      <c r="P958" s="261"/>
      <c r="Q958" s="261"/>
      <c r="R958" s="174"/>
      <c r="S958" s="406"/>
    </row>
    <row r="959" spans="1:19" s="181" customFormat="1" ht="10.199999999999999" x14ac:dyDescent="0.2">
      <c r="A959" s="435"/>
      <c r="B959" s="426"/>
      <c r="C959" s="426"/>
      <c r="D959" s="426"/>
      <c r="E959" s="426"/>
      <c r="F959" s="426"/>
      <c r="G959" s="426"/>
      <c r="H959" s="426"/>
      <c r="I959" s="426"/>
      <c r="J959" s="251"/>
      <c r="K959" s="251"/>
      <c r="L959" s="251"/>
      <c r="M959" s="179" t="s">
        <v>44</v>
      </c>
      <c r="N959" s="172">
        <f t="shared" ref="N959:O959" si="10">N336+N602+N762+N878+N952</f>
        <v>0</v>
      </c>
      <c r="O959" s="172">
        <f t="shared" si="10"/>
        <v>0</v>
      </c>
      <c r="P959" s="261"/>
      <c r="Q959" s="261"/>
      <c r="R959" s="174"/>
      <c r="S959" s="406"/>
    </row>
    <row r="960" spans="1:19" s="181" customFormat="1" ht="10.199999999999999" x14ac:dyDescent="0.2">
      <c r="A960" s="435"/>
      <c r="B960" s="426"/>
      <c r="C960" s="426"/>
      <c r="D960" s="426"/>
      <c r="E960" s="426"/>
      <c r="F960" s="426"/>
      <c r="G960" s="426"/>
      <c r="H960" s="426"/>
      <c r="I960" s="426"/>
      <c r="J960" s="251"/>
      <c r="K960" s="251"/>
      <c r="L960" s="251"/>
      <c r="M960" s="179" t="s">
        <v>45</v>
      </c>
      <c r="N960" s="172">
        <f t="shared" ref="N960:O962" si="11">N337+N603+N763+N879+N953</f>
        <v>376176.54000000004</v>
      </c>
      <c r="O960" s="172">
        <f t="shared" si="11"/>
        <v>509.86</v>
      </c>
      <c r="P960" s="261"/>
      <c r="Q960" s="261"/>
      <c r="R960" s="174"/>
      <c r="S960" s="406"/>
    </row>
    <row r="961" spans="1:19" s="181" customFormat="1" ht="10.199999999999999" x14ac:dyDescent="0.2">
      <c r="A961" s="435"/>
      <c r="B961" s="426"/>
      <c r="C961" s="426"/>
      <c r="D961" s="426"/>
      <c r="E961" s="426"/>
      <c r="F961" s="426"/>
      <c r="G961" s="426"/>
      <c r="H961" s="426"/>
      <c r="I961" s="426"/>
      <c r="J961" s="251"/>
      <c r="K961" s="251"/>
      <c r="L961" s="251"/>
      <c r="M961" s="179" t="s">
        <v>46</v>
      </c>
      <c r="N961" s="172">
        <f t="shared" si="11"/>
        <v>7399.4400000000005</v>
      </c>
      <c r="O961" s="172">
        <f t="shared" si="11"/>
        <v>1010.1999999999998</v>
      </c>
      <c r="P961" s="261"/>
      <c r="Q961" s="261"/>
      <c r="R961" s="174"/>
      <c r="S961" s="406"/>
    </row>
    <row r="962" spans="1:19" s="181" customFormat="1" ht="10.199999999999999" x14ac:dyDescent="0.2">
      <c r="A962" s="435"/>
      <c r="B962" s="426"/>
      <c r="C962" s="426"/>
      <c r="D962" s="426"/>
      <c r="E962" s="426"/>
      <c r="F962" s="426"/>
      <c r="G962" s="426"/>
      <c r="H962" s="426"/>
      <c r="I962" s="426"/>
      <c r="J962" s="251"/>
      <c r="K962" s="251"/>
      <c r="L962" s="251"/>
      <c r="M962" s="179" t="s">
        <v>1245</v>
      </c>
      <c r="N962" s="172">
        <f t="shared" si="11"/>
        <v>58551.76</v>
      </c>
      <c r="O962" s="172">
        <f t="shared" si="11"/>
        <v>14839.420000000002</v>
      </c>
      <c r="P962" s="261"/>
      <c r="Q962" s="261"/>
      <c r="R962" s="174"/>
      <c r="S962" s="406"/>
    </row>
    <row r="963" spans="1:19" x14ac:dyDescent="0.3">
      <c r="S963" s="171"/>
    </row>
    <row r="964" spans="1:19" x14ac:dyDescent="0.3">
      <c r="J964" s="192"/>
      <c r="N964" s="192"/>
      <c r="O964" s="192"/>
      <c r="S964" s="171"/>
    </row>
    <row r="965" spans="1:19" x14ac:dyDescent="0.3">
      <c r="J965" s="192"/>
      <c r="S965" s="171"/>
    </row>
    <row r="966" spans="1:19" x14ac:dyDescent="0.3">
      <c r="S966" s="171"/>
    </row>
    <row r="967" spans="1:19" x14ac:dyDescent="0.3">
      <c r="S967" s="171"/>
    </row>
    <row r="968" spans="1:19" x14ac:dyDescent="0.3">
      <c r="S968" s="171"/>
    </row>
    <row r="969" spans="1:19" x14ac:dyDescent="0.3">
      <c r="S969" s="171"/>
    </row>
    <row r="970" spans="1:19" x14ac:dyDescent="0.3">
      <c r="S970" s="171"/>
    </row>
    <row r="971" spans="1:19" x14ac:dyDescent="0.3">
      <c r="S971" s="171"/>
    </row>
    <row r="972" spans="1:19" x14ac:dyDescent="0.3">
      <c r="S972" s="171"/>
    </row>
    <row r="973" spans="1:19" x14ac:dyDescent="0.3">
      <c r="S973" s="171"/>
    </row>
    <row r="974" spans="1:19" x14ac:dyDescent="0.3">
      <c r="S974" s="171"/>
    </row>
    <row r="975" spans="1:19" x14ac:dyDescent="0.3">
      <c r="S975" s="171"/>
    </row>
    <row r="976" spans="1:19" x14ac:dyDescent="0.3">
      <c r="S976" s="171"/>
    </row>
    <row r="977" spans="1:19" s="31" customFormat="1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7"/>
      <c r="R977" s="7"/>
      <c r="S977" s="170"/>
    </row>
    <row r="978" spans="1:19" s="31" customFormat="1" ht="10.199999999999999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170"/>
    </row>
    <row r="979" spans="1:19" s="31" customFormat="1" ht="10.199999999999999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170"/>
    </row>
    <row r="980" spans="1:19" s="31" customFormat="1" ht="10.199999999999999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170"/>
    </row>
    <row r="981" spans="1:19" s="31" customFormat="1" ht="10.199999999999999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170"/>
    </row>
    <row r="982" spans="1:19" s="31" customFormat="1" ht="10.199999999999999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170"/>
    </row>
    <row r="983" spans="1:19" s="31" customFormat="1" ht="10.199999999999999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170"/>
    </row>
    <row r="984" spans="1:19" s="31" customFormat="1" ht="10.199999999999999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170"/>
    </row>
    <row r="985" spans="1:19" s="31" customFormat="1" ht="10.199999999999999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170"/>
    </row>
    <row r="986" spans="1:19" s="31" customFormat="1" ht="10.199999999999999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170"/>
    </row>
    <row r="987" spans="1:19" s="31" customFormat="1" ht="10.199999999999999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170"/>
    </row>
    <row r="988" spans="1:19" s="31" customFormat="1" ht="10.199999999999999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170"/>
    </row>
    <row r="989" spans="1:19" s="31" customFormat="1" ht="10.199999999999999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170"/>
    </row>
    <row r="990" spans="1:19" s="31" customFormat="1" ht="10.199999999999999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170"/>
    </row>
    <row r="991" spans="1:19" s="31" customFormat="1" ht="10.199999999999999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170"/>
    </row>
    <row r="992" spans="1:19" s="31" customFormat="1" ht="10.199999999999999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170"/>
    </row>
    <row r="993" spans="1:19" s="31" customFormat="1" ht="10.199999999999999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170"/>
    </row>
    <row r="994" spans="1:19" s="31" customFormat="1" ht="10.199999999999999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170"/>
    </row>
    <row r="995" spans="1:19" s="31" customFormat="1" ht="10.199999999999999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170"/>
    </row>
    <row r="996" spans="1:19" s="31" customFormat="1" ht="10.199999999999999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170"/>
    </row>
    <row r="997" spans="1:19" s="31" customFormat="1" ht="10.199999999999999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170"/>
    </row>
    <row r="998" spans="1:19" s="31" customFormat="1" ht="10.199999999999999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170"/>
    </row>
    <row r="999" spans="1:19" s="31" customFormat="1" ht="10.199999999999999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170"/>
    </row>
    <row r="1000" spans="1:19" s="31" customFormat="1" ht="10.199999999999999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170"/>
    </row>
    <row r="1001" spans="1:19" s="31" customFormat="1" ht="10.199999999999999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170"/>
    </row>
    <row r="1002" spans="1:19" s="31" customFormat="1" ht="10.199999999999999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170"/>
    </row>
    <row r="1003" spans="1:19" s="31" customFormat="1" ht="10.199999999999999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170"/>
    </row>
    <row r="1004" spans="1:19" s="31" customFormat="1" ht="10.199999999999999" x14ac:dyDescent="0.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170"/>
    </row>
    <row r="1005" spans="1:19" s="31" customFormat="1" ht="10.199999999999999" x14ac:dyDescent="0.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170"/>
    </row>
    <row r="1006" spans="1:19" s="31" customFormat="1" ht="10.199999999999999" x14ac:dyDescent="0.2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170"/>
    </row>
    <row r="1007" spans="1:19" s="31" customFormat="1" ht="10.199999999999999" x14ac:dyDescent="0.2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170"/>
    </row>
    <row r="1008" spans="1:19" s="31" customFormat="1" ht="10.199999999999999" x14ac:dyDescent="0.2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170"/>
    </row>
    <row r="1009" spans="1:19" s="31" customFormat="1" ht="10.199999999999999" x14ac:dyDescent="0.2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160"/>
    </row>
    <row r="1010" spans="1:19" s="31" customFormat="1" ht="10.199999999999999" x14ac:dyDescent="0.2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160"/>
    </row>
    <row r="1011" spans="1:19" s="31" customFormat="1" ht="10.199999999999999" x14ac:dyDescent="0.2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160"/>
    </row>
    <row r="1012" spans="1:19" s="31" customFormat="1" ht="10.199999999999999" x14ac:dyDescent="0.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160"/>
    </row>
    <row r="1013" spans="1:19" s="31" customFormat="1" ht="10.199999999999999" x14ac:dyDescent="0.2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160"/>
    </row>
    <row r="1014" spans="1:19" s="31" customFormat="1" ht="10.199999999999999" x14ac:dyDescent="0.2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160"/>
    </row>
    <row r="1015" spans="1:19" s="31" customFormat="1" ht="10.199999999999999" x14ac:dyDescent="0.2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160"/>
    </row>
    <row r="1016" spans="1:19" s="31" customFormat="1" ht="10.199999999999999" x14ac:dyDescent="0.2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160"/>
    </row>
    <row r="1017" spans="1:19" x14ac:dyDescent="0.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</row>
    <row r="1018" spans="1:19" x14ac:dyDescent="0.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</row>
    <row r="1019" spans="1:19" x14ac:dyDescent="0.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</row>
    <row r="1020" spans="1:19" x14ac:dyDescent="0.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</row>
    <row r="1021" spans="1:19" x14ac:dyDescent="0.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</row>
    <row r="1022" spans="1:19" x14ac:dyDescent="0.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</row>
    <row r="1023" spans="1:19" x14ac:dyDescent="0.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</row>
    <row r="1024" spans="1:19" x14ac:dyDescent="0.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</row>
    <row r="1025" spans="1:16" x14ac:dyDescent="0.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</row>
    <row r="1026" spans="1:16" x14ac:dyDescent="0.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</row>
    <row r="1027" spans="1:16" x14ac:dyDescent="0.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</row>
  </sheetData>
  <mergeCells count="2503">
    <mergeCell ref="N716:O716"/>
    <mergeCell ref="N722:O722"/>
    <mergeCell ref="N728:O728"/>
    <mergeCell ref="N734:O734"/>
    <mergeCell ref="N740:O740"/>
    <mergeCell ref="N746:O746"/>
    <mergeCell ref="N752:O752"/>
    <mergeCell ref="N869:P873"/>
    <mergeCell ref="N874:P874"/>
    <mergeCell ref="N930:O930"/>
    <mergeCell ref="N931:P935"/>
    <mergeCell ref="N936:P936"/>
    <mergeCell ref="N857:O861"/>
    <mergeCell ref="P735:P739"/>
    <mergeCell ref="P741:P745"/>
    <mergeCell ref="P821:P826"/>
    <mergeCell ref="N863:O867"/>
    <mergeCell ref="N868:O868"/>
    <mergeCell ref="N236:O236"/>
    <mergeCell ref="N242:O242"/>
    <mergeCell ref="N243:O247"/>
    <mergeCell ref="N248:O248"/>
    <mergeCell ref="N249:O253"/>
    <mergeCell ref="N254:O254"/>
    <mergeCell ref="N260:O260"/>
    <mergeCell ref="N271:O272"/>
    <mergeCell ref="N278:O278"/>
    <mergeCell ref="N284:O284"/>
    <mergeCell ref="N290:O290"/>
    <mergeCell ref="N164:P164"/>
    <mergeCell ref="N165:P169"/>
    <mergeCell ref="N170:P170"/>
    <mergeCell ref="N171:P175"/>
    <mergeCell ref="N176:P176"/>
    <mergeCell ref="N177:P181"/>
    <mergeCell ref="N182:P182"/>
    <mergeCell ref="N183:P187"/>
    <mergeCell ref="N188:P188"/>
    <mergeCell ref="N189:P193"/>
    <mergeCell ref="N194:P194"/>
    <mergeCell ref="N195:P199"/>
    <mergeCell ref="N200:P200"/>
    <mergeCell ref="N201:P205"/>
    <mergeCell ref="N206:P206"/>
    <mergeCell ref="N207:P211"/>
    <mergeCell ref="N117:O121"/>
    <mergeCell ref="N122:O122"/>
    <mergeCell ref="N123:O127"/>
    <mergeCell ref="N128:O128"/>
    <mergeCell ref="N129:O133"/>
    <mergeCell ref="N134:O134"/>
    <mergeCell ref="N135:O139"/>
    <mergeCell ref="N140:O140"/>
    <mergeCell ref="N141:O145"/>
    <mergeCell ref="N146:O146"/>
    <mergeCell ref="N147:O151"/>
    <mergeCell ref="N152:O152"/>
    <mergeCell ref="N153:P157"/>
    <mergeCell ref="N158:P158"/>
    <mergeCell ref="N159:P163"/>
    <mergeCell ref="N219:P223"/>
    <mergeCell ref="N224:P224"/>
    <mergeCell ref="M300:M302"/>
    <mergeCell ref="M303:M305"/>
    <mergeCell ref="N297:N299"/>
    <mergeCell ref="O297:O299"/>
    <mergeCell ref="N300:N302"/>
    <mergeCell ref="O300:O302"/>
    <mergeCell ref="N303:N305"/>
    <mergeCell ref="O303:O305"/>
    <mergeCell ref="N547:O550"/>
    <mergeCell ref="N527:O529"/>
    <mergeCell ref="N306:O308"/>
    <mergeCell ref="N314:O314"/>
    <mergeCell ref="N315:P319"/>
    <mergeCell ref="N320:P320"/>
    <mergeCell ref="N326:O326"/>
    <mergeCell ref="N327:O331"/>
    <mergeCell ref="N332:O332"/>
    <mergeCell ref="N502:O502"/>
    <mergeCell ref="N508:O508"/>
    <mergeCell ref="N514:O514"/>
    <mergeCell ref="N520:O520"/>
    <mergeCell ref="M291:M293"/>
    <mergeCell ref="M294:M296"/>
    <mergeCell ref="M297:M299"/>
    <mergeCell ref="M306:M308"/>
    <mergeCell ref="N291:N293"/>
    <mergeCell ref="O291:O293"/>
    <mergeCell ref="N294:N296"/>
    <mergeCell ref="O294:O296"/>
    <mergeCell ref="P291:P308"/>
    <mergeCell ref="Q291:Q308"/>
    <mergeCell ref="S821:S826"/>
    <mergeCell ref="P747:P752"/>
    <mergeCell ref="S569:S574"/>
    <mergeCell ref="P569:P574"/>
    <mergeCell ref="Q377:Q382"/>
    <mergeCell ref="Q383:Q388"/>
    <mergeCell ref="Q389:Q394"/>
    <mergeCell ref="Q395:Q400"/>
    <mergeCell ref="Q401:Q406"/>
    <mergeCell ref="S485:S490"/>
    <mergeCell ref="S296:S302"/>
    <mergeCell ref="S809:S810"/>
    <mergeCell ref="S797:S802"/>
    <mergeCell ref="S785:S790"/>
    <mergeCell ref="S773:S778"/>
    <mergeCell ref="S473:S478"/>
    <mergeCell ref="S461:S466"/>
    <mergeCell ref="S449:S454"/>
    <mergeCell ref="S389:S394"/>
    <mergeCell ref="S371:S376"/>
    <mergeCell ref="S359:S364"/>
    <mergeCell ref="S653:S656"/>
    <mergeCell ref="Q767:Q772"/>
    <mergeCell ref="Q773:Q778"/>
    <mergeCell ref="Q509:Q514"/>
    <mergeCell ref="P699:P704"/>
    <mergeCell ref="N564:P565"/>
    <mergeCell ref="N567:P568"/>
    <mergeCell ref="N663:O667"/>
    <mergeCell ref="N531:O532"/>
    <mergeCell ref="N533:P537"/>
    <mergeCell ref="N538:P538"/>
    <mergeCell ref="N540:O543"/>
    <mergeCell ref="N544:O544"/>
    <mergeCell ref="N557:P561"/>
    <mergeCell ref="N562:P562"/>
    <mergeCell ref="N639:O643"/>
    <mergeCell ref="K773:K778"/>
    <mergeCell ref="L773:L778"/>
    <mergeCell ref="Q645:Q650"/>
    <mergeCell ref="Q651:Q656"/>
    <mergeCell ref="Q657:Q662"/>
    <mergeCell ref="Q663:Q668"/>
    <mergeCell ref="Q669:Q674"/>
    <mergeCell ref="P705:P710"/>
    <mergeCell ref="Q705:Q710"/>
    <mergeCell ref="Q711:Q716"/>
    <mergeCell ref="Q717:Q722"/>
    <mergeCell ref="Q723:Q728"/>
    <mergeCell ref="Q735:Q740"/>
    <mergeCell ref="N692:O692"/>
    <mergeCell ref="N698:O698"/>
    <mergeCell ref="N704:O704"/>
    <mergeCell ref="N710:O710"/>
    <mergeCell ref="A497:A502"/>
    <mergeCell ref="B497:B502"/>
    <mergeCell ref="C497:C502"/>
    <mergeCell ref="D497:D502"/>
    <mergeCell ref="E497:E502"/>
    <mergeCell ref="F497:F502"/>
    <mergeCell ref="G497:G502"/>
    <mergeCell ref="H497:H502"/>
    <mergeCell ref="I497:I502"/>
    <mergeCell ref="J497:J502"/>
    <mergeCell ref="S497:S502"/>
    <mergeCell ref="K497:K502"/>
    <mergeCell ref="L497:L502"/>
    <mergeCell ref="Q497:Q502"/>
    <mergeCell ref="S503:S508"/>
    <mergeCell ref="K503:K508"/>
    <mergeCell ref="L503:L508"/>
    <mergeCell ref="Q503:Q508"/>
    <mergeCell ref="F569:F574"/>
    <mergeCell ref="G569:G574"/>
    <mergeCell ref="H569:H574"/>
    <mergeCell ref="I569:I574"/>
    <mergeCell ref="Q956:Q962"/>
    <mergeCell ref="P895:P900"/>
    <mergeCell ref="P901:P906"/>
    <mergeCell ref="Q425:Q430"/>
    <mergeCell ref="Q431:Q436"/>
    <mergeCell ref="Q437:Q442"/>
    <mergeCell ref="Q443:Q448"/>
    <mergeCell ref="Q449:Q454"/>
    <mergeCell ref="P607:P615"/>
    <mergeCell ref="P943:P948"/>
    <mergeCell ref="Q883:Q888"/>
    <mergeCell ref="Q889:Q894"/>
    <mergeCell ref="Q895:Q900"/>
    <mergeCell ref="Q901:Q906"/>
    <mergeCell ref="Q907:Q912"/>
    <mergeCell ref="Q913:Q918"/>
    <mergeCell ref="Q919:Q924"/>
    <mergeCell ref="Q925:Q930"/>
    <mergeCell ref="Q931:Q936"/>
    <mergeCell ref="N443:O447"/>
    <mergeCell ref="H887:H888"/>
    <mergeCell ref="J887:J888"/>
    <mergeCell ref="N425:O429"/>
    <mergeCell ref="N644:O644"/>
    <mergeCell ref="N645:O649"/>
    <mergeCell ref="B956:I962"/>
    <mergeCell ref="K485:K490"/>
    <mergeCell ref="L485:L490"/>
    <mergeCell ref="Q266:Q272"/>
    <mergeCell ref="Q273:Q278"/>
    <mergeCell ref="Q279:Q284"/>
    <mergeCell ref="Q285:Q290"/>
    <mergeCell ref="P599:P605"/>
    <mergeCell ref="Q563:Q568"/>
    <mergeCell ref="Q599:Q605"/>
    <mergeCell ref="Q569:Q574"/>
    <mergeCell ref="N546:O546"/>
    <mergeCell ref="N545:O545"/>
    <mergeCell ref="P347:P352"/>
    <mergeCell ref="P341:P346"/>
    <mergeCell ref="Q515:Q520"/>
    <mergeCell ref="Q521:Q526"/>
    <mergeCell ref="Q527:Q532"/>
    <mergeCell ref="Q533:Q538"/>
    <mergeCell ref="Q539:Q544"/>
    <mergeCell ref="Q545:Q550"/>
    <mergeCell ref="Q551:Q556"/>
    <mergeCell ref="Q557:Q562"/>
    <mergeCell ref="Q359:Q364"/>
    <mergeCell ref="Q365:Q370"/>
    <mergeCell ref="Q371:Q376"/>
    <mergeCell ref="N395:O399"/>
    <mergeCell ref="Q413:Q418"/>
    <mergeCell ref="Q419:Q424"/>
    <mergeCell ref="Q333:Q339"/>
    <mergeCell ref="P521:P526"/>
    <mergeCell ref="P437:P442"/>
    <mergeCell ref="N563:O563"/>
    <mergeCell ref="F383:F388"/>
    <mergeCell ref="G383:G388"/>
    <mergeCell ref="I383:I388"/>
    <mergeCell ref="J383:J388"/>
    <mergeCell ref="H383:H388"/>
    <mergeCell ref="P419:P424"/>
    <mergeCell ref="N419:O424"/>
    <mergeCell ref="H907:H912"/>
    <mergeCell ref="I907:I912"/>
    <mergeCell ref="J907:J912"/>
    <mergeCell ref="H913:H918"/>
    <mergeCell ref="J913:J918"/>
    <mergeCell ref="I913:I918"/>
    <mergeCell ref="E889:E894"/>
    <mergeCell ref="F889:F894"/>
    <mergeCell ref="G889:G894"/>
    <mergeCell ref="H889:H894"/>
    <mergeCell ref="K889:K894"/>
    <mergeCell ref="I889:I894"/>
    <mergeCell ref="J889:J894"/>
    <mergeCell ref="K869:K874"/>
    <mergeCell ref="L869:L874"/>
    <mergeCell ref="P815:P820"/>
    <mergeCell ref="P759:P765"/>
    <mergeCell ref="P809:P814"/>
    <mergeCell ref="P797:P802"/>
    <mergeCell ref="P767:P772"/>
    <mergeCell ref="P663:P668"/>
    <mergeCell ref="N680:O680"/>
    <mergeCell ref="N686:O686"/>
    <mergeCell ref="B875:I881"/>
    <mergeCell ref="D821:D826"/>
    <mergeCell ref="B491:B496"/>
    <mergeCell ref="P956:P962"/>
    <mergeCell ref="J569:J574"/>
    <mergeCell ref="K569:K574"/>
    <mergeCell ref="L569:L574"/>
    <mergeCell ref="N925:O929"/>
    <mergeCell ref="E821:E826"/>
    <mergeCell ref="F821:F826"/>
    <mergeCell ref="G821:G826"/>
    <mergeCell ref="H821:H826"/>
    <mergeCell ref="I821:I826"/>
    <mergeCell ref="J821:J826"/>
    <mergeCell ref="D809:D814"/>
    <mergeCell ref="E809:E814"/>
    <mergeCell ref="F809:F814"/>
    <mergeCell ref="P687:P692"/>
    <mergeCell ref="P711:P716"/>
    <mergeCell ref="J949:J955"/>
    <mergeCell ref="K949:K955"/>
    <mergeCell ref="L949:L955"/>
    <mergeCell ref="J883:J884"/>
    <mergeCell ref="J885:J886"/>
    <mergeCell ref="A882:Q882"/>
    <mergeCell ref="B949:I955"/>
    <mergeCell ref="F907:F912"/>
    <mergeCell ref="G907:G912"/>
    <mergeCell ref="Q937:Q942"/>
    <mergeCell ref="Q943:Q948"/>
    <mergeCell ref="P675:P680"/>
    <mergeCell ref="K821:K826"/>
    <mergeCell ref="L821:L826"/>
    <mergeCell ref="Q821:Q826"/>
    <mergeCell ref="B333:I339"/>
    <mergeCell ref="P395:P400"/>
    <mergeCell ref="A821:A826"/>
    <mergeCell ref="B821:B826"/>
    <mergeCell ref="C821:C826"/>
    <mergeCell ref="I809:I814"/>
    <mergeCell ref="A797:A802"/>
    <mergeCell ref="B797:B802"/>
    <mergeCell ref="C797:C802"/>
    <mergeCell ref="D797:D802"/>
    <mergeCell ref="E797:E802"/>
    <mergeCell ref="F797:F802"/>
    <mergeCell ref="G797:G802"/>
    <mergeCell ref="I395:I400"/>
    <mergeCell ref="A383:A388"/>
    <mergeCell ref="B383:B388"/>
    <mergeCell ref="H797:H802"/>
    <mergeCell ref="I797:I802"/>
    <mergeCell ref="J797:J802"/>
    <mergeCell ref="A785:A790"/>
    <mergeCell ref="B785:B790"/>
    <mergeCell ref="C785:C790"/>
    <mergeCell ref="D785:D790"/>
    <mergeCell ref="E785:E790"/>
    <mergeCell ref="F785:F790"/>
    <mergeCell ref="G785:G790"/>
    <mergeCell ref="H785:H790"/>
    <mergeCell ref="B599:I605"/>
    <mergeCell ref="B759:I765"/>
    <mergeCell ref="I785:I790"/>
    <mergeCell ref="J785:J790"/>
    <mergeCell ref="A779:A784"/>
    <mergeCell ref="L943:L948"/>
    <mergeCell ref="D925:D930"/>
    <mergeCell ref="I296:I302"/>
    <mergeCell ref="J296:J302"/>
    <mergeCell ref="N341:O341"/>
    <mergeCell ref="A569:A574"/>
    <mergeCell ref="P729:P734"/>
    <mergeCell ref="C569:C574"/>
    <mergeCell ref="D569:D574"/>
    <mergeCell ref="E569:E574"/>
    <mergeCell ref="P359:P364"/>
    <mergeCell ref="J485:J490"/>
    <mergeCell ref="K473:K478"/>
    <mergeCell ref="L473:L478"/>
    <mergeCell ref="I425:I430"/>
    <mergeCell ref="G395:G400"/>
    <mergeCell ref="H395:H400"/>
    <mergeCell ref="C491:C496"/>
    <mergeCell ref="D491:D496"/>
    <mergeCell ref="E491:E496"/>
    <mergeCell ref="F491:F496"/>
    <mergeCell ref="G491:G496"/>
    <mergeCell ref="H491:H496"/>
    <mergeCell ref="K491:K496"/>
    <mergeCell ref="I491:I496"/>
    <mergeCell ref="N407:P412"/>
    <mergeCell ref="P413:P418"/>
    <mergeCell ref="P371:P376"/>
    <mergeCell ref="P309:P314"/>
    <mergeCell ref="N389:P394"/>
    <mergeCell ref="P333:P339"/>
    <mergeCell ref="A606:Q606"/>
    <mergeCell ref="A895:A900"/>
    <mergeCell ref="B895:B900"/>
    <mergeCell ref="G895:G900"/>
    <mergeCell ref="H895:H900"/>
    <mergeCell ref="J895:J900"/>
    <mergeCell ref="I895:I900"/>
    <mergeCell ref="A883:A888"/>
    <mergeCell ref="P883:P888"/>
    <mergeCell ref="P889:P894"/>
    <mergeCell ref="Q949:Q955"/>
    <mergeCell ref="P949:P955"/>
    <mergeCell ref="A949:A955"/>
    <mergeCell ref="P937:P942"/>
    <mergeCell ref="A907:A912"/>
    <mergeCell ref="B907:B912"/>
    <mergeCell ref="A943:A948"/>
    <mergeCell ref="B943:B948"/>
    <mergeCell ref="C943:C948"/>
    <mergeCell ref="D943:D948"/>
    <mergeCell ref="E943:E948"/>
    <mergeCell ref="F943:F948"/>
    <mergeCell ref="G943:G948"/>
    <mergeCell ref="H943:H948"/>
    <mergeCell ref="I943:I948"/>
    <mergeCell ref="J943:J948"/>
    <mergeCell ref="E913:E918"/>
    <mergeCell ref="G913:G918"/>
    <mergeCell ref="F913:F918"/>
    <mergeCell ref="N937:O941"/>
    <mergeCell ref="N942:O942"/>
    <mergeCell ref="N943:O947"/>
    <mergeCell ref="N948:O948"/>
    <mergeCell ref="C895:C900"/>
    <mergeCell ref="D895:D900"/>
    <mergeCell ref="E907:E912"/>
    <mergeCell ref="H296:H302"/>
    <mergeCell ref="J759:J765"/>
    <mergeCell ref="K759:K765"/>
    <mergeCell ref="L759:L765"/>
    <mergeCell ref="P497:P502"/>
    <mergeCell ref="P503:P508"/>
    <mergeCell ref="P515:P520"/>
    <mergeCell ref="P509:P514"/>
    <mergeCell ref="P723:P728"/>
    <mergeCell ref="J503:J508"/>
    <mergeCell ref="P681:P686"/>
    <mergeCell ref="P919:P924"/>
    <mergeCell ref="P925:P930"/>
    <mergeCell ref="S921:S924"/>
    <mergeCell ref="S919:S920"/>
    <mergeCell ref="K919:K924"/>
    <mergeCell ref="A766:Q766"/>
    <mergeCell ref="Q407:Q412"/>
    <mergeCell ref="P627:P632"/>
    <mergeCell ref="A296:A302"/>
    <mergeCell ref="B296:B302"/>
    <mergeCell ref="C296:C302"/>
    <mergeCell ref="D296:D302"/>
    <mergeCell ref="S913:S918"/>
    <mergeCell ref="K913:K918"/>
    <mergeCell ref="L913:L918"/>
    <mergeCell ref="P907:P912"/>
    <mergeCell ref="P913:P918"/>
    <mergeCell ref="C907:C912"/>
    <mergeCell ref="L925:L930"/>
    <mergeCell ref="A919:A924"/>
    <mergeCell ref="B919:B924"/>
    <mergeCell ref="C919:C924"/>
    <mergeCell ref="D919:D924"/>
    <mergeCell ref="E919:E924"/>
    <mergeCell ref="F919:F924"/>
    <mergeCell ref="G919:G924"/>
    <mergeCell ref="H919:H920"/>
    <mergeCell ref="H921:H924"/>
    <mergeCell ref="J919:J920"/>
    <mergeCell ref="J921:J924"/>
    <mergeCell ref="I919:I924"/>
    <mergeCell ref="A925:A930"/>
    <mergeCell ref="B925:B930"/>
    <mergeCell ref="C925:C930"/>
    <mergeCell ref="S907:S912"/>
    <mergeCell ref="K907:K912"/>
    <mergeCell ref="L907:L912"/>
    <mergeCell ref="A913:A918"/>
    <mergeCell ref="B913:B918"/>
    <mergeCell ref="C913:C918"/>
    <mergeCell ref="D913:D918"/>
    <mergeCell ref="D907:D912"/>
    <mergeCell ref="A956:A962"/>
    <mergeCell ref="A931:A936"/>
    <mergeCell ref="B931:B936"/>
    <mergeCell ref="C931:C936"/>
    <mergeCell ref="D931:D936"/>
    <mergeCell ref="E931:E936"/>
    <mergeCell ref="F931:F936"/>
    <mergeCell ref="G931:G936"/>
    <mergeCell ref="H931:H936"/>
    <mergeCell ref="J931:J936"/>
    <mergeCell ref="I931:I936"/>
    <mergeCell ref="S931:S936"/>
    <mergeCell ref="K931:K936"/>
    <mergeCell ref="L931:L936"/>
    <mergeCell ref="A937:A942"/>
    <mergeCell ref="B937:B942"/>
    <mergeCell ref="C937:C942"/>
    <mergeCell ref="D937:D942"/>
    <mergeCell ref="E937:E942"/>
    <mergeCell ref="F937:F942"/>
    <mergeCell ref="G937:G942"/>
    <mergeCell ref="H937:H942"/>
    <mergeCell ref="J937:J942"/>
    <mergeCell ref="I937:I942"/>
    <mergeCell ref="K937:K942"/>
    <mergeCell ref="S937:S942"/>
    <mergeCell ref="L937:L942"/>
    <mergeCell ref="J956:J962"/>
    <mergeCell ref="K956:K962"/>
    <mergeCell ref="L956:L962"/>
    <mergeCell ref="S943:S948"/>
    <mergeCell ref="K943:K948"/>
    <mergeCell ref="E925:E930"/>
    <mergeCell ref="F925:F930"/>
    <mergeCell ref="G925:G930"/>
    <mergeCell ref="H925:H930"/>
    <mergeCell ref="J925:J930"/>
    <mergeCell ref="I925:I930"/>
    <mergeCell ref="S895:S900"/>
    <mergeCell ref="K895:K900"/>
    <mergeCell ref="L895:L900"/>
    <mergeCell ref="A901:A906"/>
    <mergeCell ref="B901:B906"/>
    <mergeCell ref="C901:C906"/>
    <mergeCell ref="D901:D906"/>
    <mergeCell ref="E901:E906"/>
    <mergeCell ref="G901:G906"/>
    <mergeCell ref="F901:F906"/>
    <mergeCell ref="H901:H906"/>
    <mergeCell ref="I901:I906"/>
    <mergeCell ref="J901:J906"/>
    <mergeCell ref="S901:S906"/>
    <mergeCell ref="K901:K906"/>
    <mergeCell ref="L901:L906"/>
    <mergeCell ref="L919:L924"/>
    <mergeCell ref="N895:O899"/>
    <mergeCell ref="N901:O905"/>
    <mergeCell ref="N907:O911"/>
    <mergeCell ref="N913:O917"/>
    <mergeCell ref="N919:O923"/>
    <mergeCell ref="E895:E900"/>
    <mergeCell ref="F895:F900"/>
    <mergeCell ref="S925:S930"/>
    <mergeCell ref="K925:K930"/>
    <mergeCell ref="A875:A881"/>
    <mergeCell ref="B883:B888"/>
    <mergeCell ref="C883:C888"/>
    <mergeCell ref="D883:D888"/>
    <mergeCell ref="E883:E888"/>
    <mergeCell ref="F883:F888"/>
    <mergeCell ref="G883:G888"/>
    <mergeCell ref="H883:H884"/>
    <mergeCell ref="H885:H886"/>
    <mergeCell ref="I883:I888"/>
    <mergeCell ref="S883:S884"/>
    <mergeCell ref="S885:S886"/>
    <mergeCell ref="K883:K888"/>
    <mergeCell ref="L883:L888"/>
    <mergeCell ref="A889:A894"/>
    <mergeCell ref="B889:B894"/>
    <mergeCell ref="C889:C894"/>
    <mergeCell ref="D889:D894"/>
    <mergeCell ref="S889:S894"/>
    <mergeCell ref="L889:L894"/>
    <mergeCell ref="K875:K881"/>
    <mergeCell ref="L875:L881"/>
    <mergeCell ref="Q875:Q881"/>
    <mergeCell ref="J875:J881"/>
    <mergeCell ref="P875:P881"/>
    <mergeCell ref="N883:O887"/>
    <mergeCell ref="A869:A874"/>
    <mergeCell ref="B869:B874"/>
    <mergeCell ref="C869:C874"/>
    <mergeCell ref="D869:D874"/>
    <mergeCell ref="E869:E874"/>
    <mergeCell ref="F869:F874"/>
    <mergeCell ref="G869:G874"/>
    <mergeCell ref="J869:J874"/>
    <mergeCell ref="H869:H874"/>
    <mergeCell ref="I869:I874"/>
    <mergeCell ref="S869:S874"/>
    <mergeCell ref="Q869:Q874"/>
    <mergeCell ref="A857:A862"/>
    <mergeCell ref="B857:B862"/>
    <mergeCell ref="C857:C862"/>
    <mergeCell ref="D857:D862"/>
    <mergeCell ref="E857:E862"/>
    <mergeCell ref="F857:F862"/>
    <mergeCell ref="G857:G862"/>
    <mergeCell ref="H857:H862"/>
    <mergeCell ref="I857:I862"/>
    <mergeCell ref="J857:J862"/>
    <mergeCell ref="S857:S862"/>
    <mergeCell ref="K857:K862"/>
    <mergeCell ref="L857:L862"/>
    <mergeCell ref="P857:P862"/>
    <mergeCell ref="A863:A868"/>
    <mergeCell ref="B863:B868"/>
    <mergeCell ref="C863:C868"/>
    <mergeCell ref="D863:D868"/>
    <mergeCell ref="E863:E868"/>
    <mergeCell ref="F863:F868"/>
    <mergeCell ref="G863:G868"/>
    <mergeCell ref="H863:H868"/>
    <mergeCell ref="I863:I868"/>
    <mergeCell ref="J863:J868"/>
    <mergeCell ref="S863:S868"/>
    <mergeCell ref="K863:K868"/>
    <mergeCell ref="L863:L868"/>
    <mergeCell ref="Q857:Q862"/>
    <mergeCell ref="Q863:Q868"/>
    <mergeCell ref="P863:P868"/>
    <mergeCell ref="A845:A850"/>
    <mergeCell ref="B845:B850"/>
    <mergeCell ref="C845:C850"/>
    <mergeCell ref="D845:D850"/>
    <mergeCell ref="E845:E850"/>
    <mergeCell ref="F845:F850"/>
    <mergeCell ref="G845:G850"/>
    <mergeCell ref="H845:H850"/>
    <mergeCell ref="I845:I850"/>
    <mergeCell ref="S845:S850"/>
    <mergeCell ref="J845:J850"/>
    <mergeCell ref="K845:K850"/>
    <mergeCell ref="L845:L850"/>
    <mergeCell ref="A851:A856"/>
    <mergeCell ref="B851:B856"/>
    <mergeCell ref="C851:C856"/>
    <mergeCell ref="D851:D856"/>
    <mergeCell ref="E851:E856"/>
    <mergeCell ref="F851:F856"/>
    <mergeCell ref="G851:G856"/>
    <mergeCell ref="H851:H856"/>
    <mergeCell ref="I851:I856"/>
    <mergeCell ref="J851:J856"/>
    <mergeCell ref="S851:S856"/>
    <mergeCell ref="K851:K856"/>
    <mergeCell ref="L851:L856"/>
    <mergeCell ref="Q845:Q850"/>
    <mergeCell ref="Q851:Q856"/>
    <mergeCell ref="P851:P856"/>
    <mergeCell ref="P845:P850"/>
    <mergeCell ref="B833:B838"/>
    <mergeCell ref="C833:C838"/>
    <mergeCell ref="D833:D838"/>
    <mergeCell ref="E833:E838"/>
    <mergeCell ref="F833:F838"/>
    <mergeCell ref="G833:G838"/>
    <mergeCell ref="H833:H838"/>
    <mergeCell ref="I833:I838"/>
    <mergeCell ref="J833:J838"/>
    <mergeCell ref="S833:S838"/>
    <mergeCell ref="K833:K838"/>
    <mergeCell ref="L833:L838"/>
    <mergeCell ref="N845:O849"/>
    <mergeCell ref="N851:O855"/>
    <mergeCell ref="A839:A844"/>
    <mergeCell ref="B839:B844"/>
    <mergeCell ref="C839:C844"/>
    <mergeCell ref="D839:D844"/>
    <mergeCell ref="E839:E844"/>
    <mergeCell ref="G839:G844"/>
    <mergeCell ref="F839:F844"/>
    <mergeCell ref="H839:H844"/>
    <mergeCell ref="I839:I844"/>
    <mergeCell ref="J839:J844"/>
    <mergeCell ref="S839:S844"/>
    <mergeCell ref="K839:K844"/>
    <mergeCell ref="L839:L844"/>
    <mergeCell ref="Q833:Q838"/>
    <mergeCell ref="Q839:Q844"/>
    <mergeCell ref="P839:P844"/>
    <mergeCell ref="A833:A838"/>
    <mergeCell ref="N839:O843"/>
    <mergeCell ref="P833:P838"/>
    <mergeCell ref="A827:A832"/>
    <mergeCell ref="B827:B832"/>
    <mergeCell ref="C827:C832"/>
    <mergeCell ref="D827:D832"/>
    <mergeCell ref="E827:E832"/>
    <mergeCell ref="F827:F832"/>
    <mergeCell ref="G827:G832"/>
    <mergeCell ref="H829:H830"/>
    <mergeCell ref="H827:H828"/>
    <mergeCell ref="J827:J828"/>
    <mergeCell ref="J829:J830"/>
    <mergeCell ref="I827:I832"/>
    <mergeCell ref="S827:S828"/>
    <mergeCell ref="S829:S830"/>
    <mergeCell ref="K827:K832"/>
    <mergeCell ref="L827:L832"/>
    <mergeCell ref="Q827:Q832"/>
    <mergeCell ref="P827:P832"/>
    <mergeCell ref="H831:H832"/>
    <mergeCell ref="J831:J832"/>
    <mergeCell ref="K809:K814"/>
    <mergeCell ref="L809:L814"/>
    <mergeCell ref="A815:A820"/>
    <mergeCell ref="B815:B820"/>
    <mergeCell ref="C815:C820"/>
    <mergeCell ref="D815:D820"/>
    <mergeCell ref="E815:E820"/>
    <mergeCell ref="F815:F820"/>
    <mergeCell ref="G815:G820"/>
    <mergeCell ref="G809:G814"/>
    <mergeCell ref="H815:H820"/>
    <mergeCell ref="K815:K820"/>
    <mergeCell ref="I815:I820"/>
    <mergeCell ref="J815:J820"/>
    <mergeCell ref="S815:S820"/>
    <mergeCell ref="L815:L820"/>
    <mergeCell ref="Q815:Q820"/>
    <mergeCell ref="H809:H811"/>
    <mergeCell ref="H812:H814"/>
    <mergeCell ref="J809:J811"/>
    <mergeCell ref="J812:J814"/>
    <mergeCell ref="Q809:Q814"/>
    <mergeCell ref="A809:A814"/>
    <mergeCell ref="B809:B814"/>
    <mergeCell ref="C809:C814"/>
    <mergeCell ref="N815:O819"/>
    <mergeCell ref="K797:K802"/>
    <mergeCell ref="L797:L802"/>
    <mergeCell ref="A803:A808"/>
    <mergeCell ref="B803:B808"/>
    <mergeCell ref="C803:C808"/>
    <mergeCell ref="D803:D808"/>
    <mergeCell ref="E803:E808"/>
    <mergeCell ref="F803:F808"/>
    <mergeCell ref="G803:G808"/>
    <mergeCell ref="H803:H808"/>
    <mergeCell ref="I803:I808"/>
    <mergeCell ref="J803:J808"/>
    <mergeCell ref="S803:S808"/>
    <mergeCell ref="K803:K808"/>
    <mergeCell ref="L803:L808"/>
    <mergeCell ref="P803:P808"/>
    <mergeCell ref="Q797:Q802"/>
    <mergeCell ref="Q803:Q808"/>
    <mergeCell ref="N803:O807"/>
    <mergeCell ref="K785:K790"/>
    <mergeCell ref="L785:L790"/>
    <mergeCell ref="A791:A796"/>
    <mergeCell ref="B791:B796"/>
    <mergeCell ref="C791:C796"/>
    <mergeCell ref="D791:D796"/>
    <mergeCell ref="E791:E796"/>
    <mergeCell ref="F791:F796"/>
    <mergeCell ref="G791:G796"/>
    <mergeCell ref="H791:H796"/>
    <mergeCell ref="I791:I796"/>
    <mergeCell ref="J791:J796"/>
    <mergeCell ref="S791:S796"/>
    <mergeCell ref="K791:K796"/>
    <mergeCell ref="L791:L796"/>
    <mergeCell ref="P785:P790"/>
    <mergeCell ref="Q785:Q790"/>
    <mergeCell ref="Q791:Q796"/>
    <mergeCell ref="P791:P796"/>
    <mergeCell ref="D779:D784"/>
    <mergeCell ref="F779:F784"/>
    <mergeCell ref="G779:G784"/>
    <mergeCell ref="H779:H784"/>
    <mergeCell ref="I779:I784"/>
    <mergeCell ref="J779:J784"/>
    <mergeCell ref="S779:S784"/>
    <mergeCell ref="K779:K784"/>
    <mergeCell ref="L779:L784"/>
    <mergeCell ref="P779:P784"/>
    <mergeCell ref="P773:P778"/>
    <mergeCell ref="A773:A778"/>
    <mergeCell ref="B773:B778"/>
    <mergeCell ref="C773:C778"/>
    <mergeCell ref="D773:D778"/>
    <mergeCell ref="E773:E778"/>
    <mergeCell ref="E779:E784"/>
    <mergeCell ref="F773:F778"/>
    <mergeCell ref="G773:G778"/>
    <mergeCell ref="H773:H778"/>
    <mergeCell ref="I773:I778"/>
    <mergeCell ref="J773:J778"/>
    <mergeCell ref="Q779:Q784"/>
    <mergeCell ref="B779:B784"/>
    <mergeCell ref="C779:C784"/>
    <mergeCell ref="A509:A514"/>
    <mergeCell ref="B509:B514"/>
    <mergeCell ref="C509:C514"/>
    <mergeCell ref="D509:D514"/>
    <mergeCell ref="E509:E514"/>
    <mergeCell ref="F509:F514"/>
    <mergeCell ref="G509:G514"/>
    <mergeCell ref="I509:I514"/>
    <mergeCell ref="A503:A508"/>
    <mergeCell ref="B503:B508"/>
    <mergeCell ref="C503:C508"/>
    <mergeCell ref="D503:D508"/>
    <mergeCell ref="E503:E508"/>
    <mergeCell ref="F503:F508"/>
    <mergeCell ref="G503:G508"/>
    <mergeCell ref="H503:H508"/>
    <mergeCell ref="I503:I508"/>
    <mergeCell ref="J563:J568"/>
    <mergeCell ref="A521:A526"/>
    <mergeCell ref="J491:J496"/>
    <mergeCell ref="S491:S496"/>
    <mergeCell ref="L491:L496"/>
    <mergeCell ref="A485:A490"/>
    <mergeCell ref="B485:B490"/>
    <mergeCell ref="C485:C490"/>
    <mergeCell ref="D485:D490"/>
    <mergeCell ref="E485:E490"/>
    <mergeCell ref="F485:F490"/>
    <mergeCell ref="G485:G490"/>
    <mergeCell ref="I485:I490"/>
    <mergeCell ref="H485:H490"/>
    <mergeCell ref="P491:P496"/>
    <mergeCell ref="Q485:Q490"/>
    <mergeCell ref="Q491:Q496"/>
    <mergeCell ref="A491:A496"/>
    <mergeCell ref="P485:P490"/>
    <mergeCell ref="B521:B526"/>
    <mergeCell ref="C521:C526"/>
    <mergeCell ref="D521:D526"/>
    <mergeCell ref="E521:E526"/>
    <mergeCell ref="F521:F526"/>
    <mergeCell ref="G521:G526"/>
    <mergeCell ref="H521:H526"/>
    <mergeCell ref="I521:I526"/>
    <mergeCell ref="J521:J526"/>
    <mergeCell ref="S521:S526"/>
    <mergeCell ref="K521:K526"/>
    <mergeCell ref="L521:L526"/>
    <mergeCell ref="N521:O526"/>
    <mergeCell ref="B479:B484"/>
    <mergeCell ref="A479:A484"/>
    <mergeCell ref="C479:C484"/>
    <mergeCell ref="D479:D484"/>
    <mergeCell ref="E479:E484"/>
    <mergeCell ref="F479:F484"/>
    <mergeCell ref="G479:G484"/>
    <mergeCell ref="H479:H484"/>
    <mergeCell ref="I479:I484"/>
    <mergeCell ref="J479:J484"/>
    <mergeCell ref="S479:S484"/>
    <mergeCell ref="K479:K484"/>
    <mergeCell ref="L479:L484"/>
    <mergeCell ref="A473:A478"/>
    <mergeCell ref="B473:B478"/>
    <mergeCell ref="C473:C478"/>
    <mergeCell ref="D473:D478"/>
    <mergeCell ref="E473:E478"/>
    <mergeCell ref="F473:F478"/>
    <mergeCell ref="G473:G478"/>
    <mergeCell ref="I475:I478"/>
    <mergeCell ref="J473:J474"/>
    <mergeCell ref="J475:J478"/>
    <mergeCell ref="I473:I474"/>
    <mergeCell ref="N473:P478"/>
    <mergeCell ref="Q473:Q478"/>
    <mergeCell ref="Q479:Q484"/>
    <mergeCell ref="P479:P484"/>
    <mergeCell ref="K461:K466"/>
    <mergeCell ref="L461:L466"/>
    <mergeCell ref="A467:A472"/>
    <mergeCell ref="B467:B472"/>
    <mergeCell ref="C467:C472"/>
    <mergeCell ref="D467:D472"/>
    <mergeCell ref="E467:E472"/>
    <mergeCell ref="F467:F472"/>
    <mergeCell ref="G467:G472"/>
    <mergeCell ref="H467:H472"/>
    <mergeCell ref="I467:I472"/>
    <mergeCell ref="J467:J472"/>
    <mergeCell ref="S467:S472"/>
    <mergeCell ref="K467:K472"/>
    <mergeCell ref="L467:L472"/>
    <mergeCell ref="A461:A466"/>
    <mergeCell ref="B461:B466"/>
    <mergeCell ref="C461:C466"/>
    <mergeCell ref="D461:D466"/>
    <mergeCell ref="E461:E466"/>
    <mergeCell ref="F461:F466"/>
    <mergeCell ref="G461:G466"/>
    <mergeCell ref="H461:H466"/>
    <mergeCell ref="I461:I466"/>
    <mergeCell ref="P461:P466"/>
    <mergeCell ref="P467:P472"/>
    <mergeCell ref="Q461:Q466"/>
    <mergeCell ref="Q467:Q472"/>
    <mergeCell ref="K449:K454"/>
    <mergeCell ref="L449:L454"/>
    <mergeCell ref="A455:A460"/>
    <mergeCell ref="B455:B460"/>
    <mergeCell ref="C455:C460"/>
    <mergeCell ref="D455:D460"/>
    <mergeCell ref="E455:E460"/>
    <mergeCell ref="F455:F460"/>
    <mergeCell ref="G455:G460"/>
    <mergeCell ref="H455:H460"/>
    <mergeCell ref="I455:I460"/>
    <mergeCell ref="J455:J460"/>
    <mergeCell ref="S455:S460"/>
    <mergeCell ref="K455:K460"/>
    <mergeCell ref="L455:L460"/>
    <mergeCell ref="A449:A454"/>
    <mergeCell ref="B449:B454"/>
    <mergeCell ref="C449:C454"/>
    <mergeCell ref="D449:D454"/>
    <mergeCell ref="E449:E454"/>
    <mergeCell ref="F449:F454"/>
    <mergeCell ref="G449:G454"/>
    <mergeCell ref="H449:H454"/>
    <mergeCell ref="I449:I454"/>
    <mergeCell ref="P449:P454"/>
    <mergeCell ref="P455:P460"/>
    <mergeCell ref="Q455:Q460"/>
    <mergeCell ref="F425:F430"/>
    <mergeCell ref="G425:G430"/>
    <mergeCell ref="H425:H430"/>
    <mergeCell ref="J425:J430"/>
    <mergeCell ref="P425:P430"/>
    <mergeCell ref="P431:P436"/>
    <mergeCell ref="S437:S442"/>
    <mergeCell ref="K437:K442"/>
    <mergeCell ref="L437:L442"/>
    <mergeCell ref="A443:A448"/>
    <mergeCell ref="B443:B448"/>
    <mergeCell ref="C443:C448"/>
    <mergeCell ref="D443:D448"/>
    <mergeCell ref="E443:E448"/>
    <mergeCell ref="F443:F448"/>
    <mergeCell ref="G443:G448"/>
    <mergeCell ref="H443:H448"/>
    <mergeCell ref="I443:I448"/>
    <mergeCell ref="J443:J448"/>
    <mergeCell ref="S443:S448"/>
    <mergeCell ref="K443:K448"/>
    <mergeCell ref="L443:L448"/>
    <mergeCell ref="A437:A442"/>
    <mergeCell ref="B437:B442"/>
    <mergeCell ref="C437:C442"/>
    <mergeCell ref="D437:D442"/>
    <mergeCell ref="E437:E442"/>
    <mergeCell ref="F437:F442"/>
    <mergeCell ref="G437:G442"/>
    <mergeCell ref="H437:H442"/>
    <mergeCell ref="I437:I442"/>
    <mergeCell ref="B413:B418"/>
    <mergeCell ref="C413:C418"/>
    <mergeCell ref="D413:D418"/>
    <mergeCell ref="E413:E418"/>
    <mergeCell ref="F413:F418"/>
    <mergeCell ref="G413:G418"/>
    <mergeCell ref="I413:I418"/>
    <mergeCell ref="H413:H414"/>
    <mergeCell ref="H415:H418"/>
    <mergeCell ref="J413:J414"/>
    <mergeCell ref="J415:J418"/>
    <mergeCell ref="S425:S430"/>
    <mergeCell ref="K425:K430"/>
    <mergeCell ref="L425:L430"/>
    <mergeCell ref="A431:A436"/>
    <mergeCell ref="B431:B436"/>
    <mergeCell ref="C431:C436"/>
    <mergeCell ref="D431:D436"/>
    <mergeCell ref="E431:E436"/>
    <mergeCell ref="F431:F436"/>
    <mergeCell ref="G431:G436"/>
    <mergeCell ref="H431:H436"/>
    <mergeCell ref="I431:I436"/>
    <mergeCell ref="J431:J436"/>
    <mergeCell ref="S431:S436"/>
    <mergeCell ref="K431:K436"/>
    <mergeCell ref="L431:L436"/>
    <mergeCell ref="A425:A430"/>
    <mergeCell ref="B425:B430"/>
    <mergeCell ref="C425:C430"/>
    <mergeCell ref="D425:D430"/>
    <mergeCell ref="E425:E430"/>
    <mergeCell ref="H401:H406"/>
    <mergeCell ref="I401:I406"/>
    <mergeCell ref="S401:S406"/>
    <mergeCell ref="K401:K406"/>
    <mergeCell ref="L401:L406"/>
    <mergeCell ref="A395:A400"/>
    <mergeCell ref="B395:B400"/>
    <mergeCell ref="C395:C400"/>
    <mergeCell ref="D395:D400"/>
    <mergeCell ref="E395:E400"/>
    <mergeCell ref="F395:F400"/>
    <mergeCell ref="S415:S418"/>
    <mergeCell ref="K413:K418"/>
    <mergeCell ref="L413:L418"/>
    <mergeCell ref="A419:A424"/>
    <mergeCell ref="B419:B424"/>
    <mergeCell ref="C419:C424"/>
    <mergeCell ref="D419:D424"/>
    <mergeCell ref="E419:E424"/>
    <mergeCell ref="F419:F424"/>
    <mergeCell ref="G419:G424"/>
    <mergeCell ref="H419:H424"/>
    <mergeCell ref="J419:J424"/>
    <mergeCell ref="I419:I424"/>
    <mergeCell ref="S419:S424"/>
    <mergeCell ref="K419:K424"/>
    <mergeCell ref="L419:L424"/>
    <mergeCell ref="I407:I412"/>
    <mergeCell ref="S407:S412"/>
    <mergeCell ref="K407:K412"/>
    <mergeCell ref="L407:L412"/>
    <mergeCell ref="A413:A418"/>
    <mergeCell ref="K389:K394"/>
    <mergeCell ref="L389:L394"/>
    <mergeCell ref="A389:A394"/>
    <mergeCell ref="B389:B394"/>
    <mergeCell ref="C389:C394"/>
    <mergeCell ref="D389:D394"/>
    <mergeCell ref="E389:E394"/>
    <mergeCell ref="F389:F394"/>
    <mergeCell ref="G389:G394"/>
    <mergeCell ref="H389:H394"/>
    <mergeCell ref="I389:I394"/>
    <mergeCell ref="S413:S414"/>
    <mergeCell ref="A407:A412"/>
    <mergeCell ref="B407:B412"/>
    <mergeCell ref="C407:C412"/>
    <mergeCell ref="D407:D412"/>
    <mergeCell ref="E407:E412"/>
    <mergeCell ref="F407:F412"/>
    <mergeCell ref="G407:G412"/>
    <mergeCell ref="H407:H412"/>
    <mergeCell ref="J407:J412"/>
    <mergeCell ref="S395:S400"/>
    <mergeCell ref="K395:K400"/>
    <mergeCell ref="L395:L400"/>
    <mergeCell ref="A401:A406"/>
    <mergeCell ref="B401:B406"/>
    <mergeCell ref="C401:C406"/>
    <mergeCell ref="D401:D406"/>
    <mergeCell ref="E401:E406"/>
    <mergeCell ref="F401:F406"/>
    <mergeCell ref="G401:G406"/>
    <mergeCell ref="J401:J406"/>
    <mergeCell ref="K371:K376"/>
    <mergeCell ref="L371:L376"/>
    <mergeCell ref="A377:A382"/>
    <mergeCell ref="B377:B382"/>
    <mergeCell ref="C377:C382"/>
    <mergeCell ref="D377:D382"/>
    <mergeCell ref="E383:E388"/>
    <mergeCell ref="F377:F382"/>
    <mergeCell ref="G377:G382"/>
    <mergeCell ref="H377:H382"/>
    <mergeCell ref="I377:I382"/>
    <mergeCell ref="J377:J382"/>
    <mergeCell ref="S377:S382"/>
    <mergeCell ref="K377:K382"/>
    <mergeCell ref="L377:L382"/>
    <mergeCell ref="S383:S388"/>
    <mergeCell ref="K383:K388"/>
    <mergeCell ref="L383:L388"/>
    <mergeCell ref="A371:A376"/>
    <mergeCell ref="B371:B376"/>
    <mergeCell ref="C371:C376"/>
    <mergeCell ref="D371:D376"/>
    <mergeCell ref="E371:E376"/>
    <mergeCell ref="G371:G376"/>
    <mergeCell ref="F371:F376"/>
    <mergeCell ref="H371:H376"/>
    <mergeCell ref="I371:I376"/>
    <mergeCell ref="N377:O381"/>
    <mergeCell ref="N371:O375"/>
    <mergeCell ref="C383:C388"/>
    <mergeCell ref="D383:D388"/>
    <mergeCell ref="E377:E382"/>
    <mergeCell ref="K359:K364"/>
    <mergeCell ref="L359:L364"/>
    <mergeCell ref="A365:A370"/>
    <mergeCell ref="B365:B370"/>
    <mergeCell ref="C365:C370"/>
    <mergeCell ref="D365:D370"/>
    <mergeCell ref="E365:E370"/>
    <mergeCell ref="F365:F370"/>
    <mergeCell ref="G365:G370"/>
    <mergeCell ref="H365:H370"/>
    <mergeCell ref="I365:I370"/>
    <mergeCell ref="J365:J370"/>
    <mergeCell ref="S365:S370"/>
    <mergeCell ref="K365:K370"/>
    <mergeCell ref="L365:L370"/>
    <mergeCell ref="A359:A364"/>
    <mergeCell ref="B359:B364"/>
    <mergeCell ref="C359:C364"/>
    <mergeCell ref="D359:D364"/>
    <mergeCell ref="E359:E364"/>
    <mergeCell ref="F359:F364"/>
    <mergeCell ref="G359:G364"/>
    <mergeCell ref="H359:H364"/>
    <mergeCell ref="J359:J364"/>
    <mergeCell ref="P365:P370"/>
    <mergeCell ref="I359:I364"/>
    <mergeCell ref="N365:O369"/>
    <mergeCell ref="A353:A358"/>
    <mergeCell ref="Q353:Q358"/>
    <mergeCell ref="B353:B358"/>
    <mergeCell ref="C353:C358"/>
    <mergeCell ref="D353:D358"/>
    <mergeCell ref="E353:E358"/>
    <mergeCell ref="F353:F358"/>
    <mergeCell ref="G353:G358"/>
    <mergeCell ref="H353:H358"/>
    <mergeCell ref="J353:J358"/>
    <mergeCell ref="I353:I358"/>
    <mergeCell ref="S353:S358"/>
    <mergeCell ref="K353:K358"/>
    <mergeCell ref="L353:L358"/>
    <mergeCell ref="S291:S295"/>
    <mergeCell ref="K291:K295"/>
    <mergeCell ref="L291:L295"/>
    <mergeCell ref="A291:A295"/>
    <mergeCell ref="B309:B314"/>
    <mergeCell ref="C309:C314"/>
    <mergeCell ref="D309:D314"/>
    <mergeCell ref="E309:E314"/>
    <mergeCell ref="F309:F314"/>
    <mergeCell ref="G309:G314"/>
    <mergeCell ref="H309:H314"/>
    <mergeCell ref="J309:J314"/>
    <mergeCell ref="I309:I314"/>
    <mergeCell ref="S309:S314"/>
    <mergeCell ref="K309:K314"/>
    <mergeCell ref="L309:L314"/>
    <mergeCell ref="A309:A314"/>
    <mergeCell ref="B291:B295"/>
    <mergeCell ref="S279:S284"/>
    <mergeCell ref="K279:K284"/>
    <mergeCell ref="L279:L284"/>
    <mergeCell ref="A285:A290"/>
    <mergeCell ref="B285:B290"/>
    <mergeCell ref="C285:C290"/>
    <mergeCell ref="D285:D290"/>
    <mergeCell ref="E285:E290"/>
    <mergeCell ref="G285:G290"/>
    <mergeCell ref="F285:F290"/>
    <mergeCell ref="H285:H290"/>
    <mergeCell ref="J285:J290"/>
    <mergeCell ref="I285:I290"/>
    <mergeCell ref="S285:S290"/>
    <mergeCell ref="K285:K290"/>
    <mergeCell ref="L285:L290"/>
    <mergeCell ref="A279:A284"/>
    <mergeCell ref="B279:B284"/>
    <mergeCell ref="C279:C284"/>
    <mergeCell ref="D279:D284"/>
    <mergeCell ref="E279:E284"/>
    <mergeCell ref="F279:F284"/>
    <mergeCell ref="G279:G284"/>
    <mergeCell ref="H279:H284"/>
    <mergeCell ref="I279:I284"/>
    <mergeCell ref="P279:P284"/>
    <mergeCell ref="P285:P290"/>
    <mergeCell ref="S266:S272"/>
    <mergeCell ref="K266:K272"/>
    <mergeCell ref="L266:L272"/>
    <mergeCell ref="A273:A278"/>
    <mergeCell ref="B273:B278"/>
    <mergeCell ref="C273:C278"/>
    <mergeCell ref="D273:D278"/>
    <mergeCell ref="E273:E278"/>
    <mergeCell ref="F273:F278"/>
    <mergeCell ref="G273:G278"/>
    <mergeCell ref="J273:J278"/>
    <mergeCell ref="K273:K278"/>
    <mergeCell ref="I273:I278"/>
    <mergeCell ref="S273:S278"/>
    <mergeCell ref="H273:H278"/>
    <mergeCell ref="L273:L278"/>
    <mergeCell ref="A266:A272"/>
    <mergeCell ref="B266:B272"/>
    <mergeCell ref="C266:C272"/>
    <mergeCell ref="D266:D272"/>
    <mergeCell ref="E266:E272"/>
    <mergeCell ref="F266:F272"/>
    <mergeCell ref="G266:G272"/>
    <mergeCell ref="J266:J272"/>
    <mergeCell ref="I266:I272"/>
    <mergeCell ref="H266:H272"/>
    <mergeCell ref="M269:M270"/>
    <mergeCell ref="M267:M268"/>
    <mergeCell ref="M265:M266"/>
    <mergeCell ref="N265:N266"/>
    <mergeCell ref="N267:N268"/>
    <mergeCell ref="N269:N270"/>
    <mergeCell ref="S255:S260"/>
    <mergeCell ref="K255:K260"/>
    <mergeCell ref="L255:L260"/>
    <mergeCell ref="J261:J265"/>
    <mergeCell ref="S261:S265"/>
    <mergeCell ref="K261:K265"/>
    <mergeCell ref="L261:L265"/>
    <mergeCell ref="Q255:Q260"/>
    <mergeCell ref="A261:A265"/>
    <mergeCell ref="B261:B265"/>
    <mergeCell ref="C261:C265"/>
    <mergeCell ref="D261:D265"/>
    <mergeCell ref="F261:F265"/>
    <mergeCell ref="G261:G265"/>
    <mergeCell ref="E261:E265"/>
    <mergeCell ref="H261:H265"/>
    <mergeCell ref="I261:I265"/>
    <mergeCell ref="A255:A260"/>
    <mergeCell ref="B255:B260"/>
    <mergeCell ref="C255:C260"/>
    <mergeCell ref="D255:D260"/>
    <mergeCell ref="F255:F260"/>
    <mergeCell ref="G255:G260"/>
    <mergeCell ref="E255:E260"/>
    <mergeCell ref="H255:H260"/>
    <mergeCell ref="J255:J260"/>
    <mergeCell ref="M263:M264"/>
    <mergeCell ref="M261:M262"/>
    <mergeCell ref="P261:P272"/>
    <mergeCell ref="O261:O262"/>
    <mergeCell ref="O263:O264"/>
    <mergeCell ref="I255:I260"/>
    <mergeCell ref="B225:B230"/>
    <mergeCell ref="C225:C230"/>
    <mergeCell ref="S243:S248"/>
    <mergeCell ref="K243:K248"/>
    <mergeCell ref="L243:L248"/>
    <mergeCell ref="A249:A254"/>
    <mergeCell ref="B249:B254"/>
    <mergeCell ref="C249:C254"/>
    <mergeCell ref="D249:D254"/>
    <mergeCell ref="E249:E254"/>
    <mergeCell ref="F249:F254"/>
    <mergeCell ref="G249:G254"/>
    <mergeCell ref="H249:H254"/>
    <mergeCell ref="J249:J254"/>
    <mergeCell ref="I249:I254"/>
    <mergeCell ref="S249:S254"/>
    <mergeCell ref="K249:K254"/>
    <mergeCell ref="L249:L254"/>
    <mergeCell ref="A243:A248"/>
    <mergeCell ref="B243:B248"/>
    <mergeCell ref="C243:C248"/>
    <mergeCell ref="D243:D248"/>
    <mergeCell ref="E243:E248"/>
    <mergeCell ref="F243:F248"/>
    <mergeCell ref="G243:G248"/>
    <mergeCell ref="H243:H248"/>
    <mergeCell ref="J243:J248"/>
    <mergeCell ref="I243:I248"/>
    <mergeCell ref="P243:P248"/>
    <mergeCell ref="N225:P229"/>
    <mergeCell ref="N230:P230"/>
    <mergeCell ref="N231:O235"/>
    <mergeCell ref="S219:S224"/>
    <mergeCell ref="K219:K224"/>
    <mergeCell ref="L219:L224"/>
    <mergeCell ref="A219:A224"/>
    <mergeCell ref="B219:B224"/>
    <mergeCell ref="C219:C224"/>
    <mergeCell ref="D219:D224"/>
    <mergeCell ref="E219:E224"/>
    <mergeCell ref="G219:G224"/>
    <mergeCell ref="F219:F224"/>
    <mergeCell ref="H219:H224"/>
    <mergeCell ref="I219:I224"/>
    <mergeCell ref="Q219:Q224"/>
    <mergeCell ref="S237:S242"/>
    <mergeCell ref="K237:K242"/>
    <mergeCell ref="L237:L242"/>
    <mergeCell ref="A237:A242"/>
    <mergeCell ref="B237:B242"/>
    <mergeCell ref="C237:C242"/>
    <mergeCell ref="D237:D242"/>
    <mergeCell ref="E237:E242"/>
    <mergeCell ref="F237:F242"/>
    <mergeCell ref="G237:G242"/>
    <mergeCell ref="H237:H242"/>
    <mergeCell ref="J237:J242"/>
    <mergeCell ref="P237:P242"/>
    <mergeCell ref="I237:I242"/>
    <mergeCell ref="S225:S230"/>
    <mergeCell ref="K225:K230"/>
    <mergeCell ref="L225:L230"/>
    <mergeCell ref="S231:S236"/>
    <mergeCell ref="Q237:Q242"/>
    <mergeCell ref="S207:S212"/>
    <mergeCell ref="K207:K212"/>
    <mergeCell ref="L207:L212"/>
    <mergeCell ref="A207:A212"/>
    <mergeCell ref="A213:A218"/>
    <mergeCell ref="B213:B218"/>
    <mergeCell ref="C213:C218"/>
    <mergeCell ref="D213:D218"/>
    <mergeCell ref="E213:E218"/>
    <mergeCell ref="F213:F218"/>
    <mergeCell ref="G213:G218"/>
    <mergeCell ref="H213:H218"/>
    <mergeCell ref="I213:I218"/>
    <mergeCell ref="J213:J218"/>
    <mergeCell ref="S213:S218"/>
    <mergeCell ref="K213:K218"/>
    <mergeCell ref="L213:L218"/>
    <mergeCell ref="B207:B212"/>
    <mergeCell ref="C207:C212"/>
    <mergeCell ref="D207:D212"/>
    <mergeCell ref="E207:E212"/>
    <mergeCell ref="G207:G212"/>
    <mergeCell ref="F207:F212"/>
    <mergeCell ref="H207:H212"/>
    <mergeCell ref="I207:I212"/>
    <mergeCell ref="J207:J212"/>
    <mergeCell ref="Q207:Q212"/>
    <mergeCell ref="Q213:Q218"/>
    <mergeCell ref="N213:P217"/>
    <mergeCell ref="N218:P218"/>
    <mergeCell ref="N212:P212"/>
    <mergeCell ref="S195:S200"/>
    <mergeCell ref="K195:K200"/>
    <mergeCell ref="L195:L200"/>
    <mergeCell ref="A201:A206"/>
    <mergeCell ref="B201:B206"/>
    <mergeCell ref="C201:C206"/>
    <mergeCell ref="D201:D206"/>
    <mergeCell ref="E201:E206"/>
    <mergeCell ref="F201:F206"/>
    <mergeCell ref="G201:G206"/>
    <mergeCell ref="H201:H206"/>
    <mergeCell ref="I201:I206"/>
    <mergeCell ref="K201:K206"/>
    <mergeCell ref="J201:J206"/>
    <mergeCell ref="L201:L206"/>
    <mergeCell ref="S201:S206"/>
    <mergeCell ref="A195:A200"/>
    <mergeCell ref="B195:B200"/>
    <mergeCell ref="C195:C200"/>
    <mergeCell ref="D195:D200"/>
    <mergeCell ref="E195:E200"/>
    <mergeCell ref="F195:F200"/>
    <mergeCell ref="G195:G200"/>
    <mergeCell ref="H195:H200"/>
    <mergeCell ref="J195:J200"/>
    <mergeCell ref="Q195:Q200"/>
    <mergeCell ref="Q201:Q206"/>
    <mergeCell ref="A15:A20"/>
    <mergeCell ref="F15:F20"/>
    <mergeCell ref="G15:G20"/>
    <mergeCell ref="I15:I20"/>
    <mergeCell ref="P27:P32"/>
    <mergeCell ref="L183:L188"/>
    <mergeCell ref="H183:H188"/>
    <mergeCell ref="K189:K194"/>
    <mergeCell ref="S189:S194"/>
    <mergeCell ref="L189:L194"/>
    <mergeCell ref="A189:A194"/>
    <mergeCell ref="B189:B194"/>
    <mergeCell ref="C189:C194"/>
    <mergeCell ref="D189:D194"/>
    <mergeCell ref="E189:E194"/>
    <mergeCell ref="F189:F194"/>
    <mergeCell ref="G189:G194"/>
    <mergeCell ref="H189:H194"/>
    <mergeCell ref="J189:J194"/>
    <mergeCell ref="I189:I194"/>
    <mergeCell ref="A183:A188"/>
    <mergeCell ref="B183:B188"/>
    <mergeCell ref="C183:C188"/>
    <mergeCell ref="D183:D188"/>
    <mergeCell ref="E183:E188"/>
    <mergeCell ref="G183:G188"/>
    <mergeCell ref="F183:F188"/>
    <mergeCell ref="I183:I188"/>
    <mergeCell ref="J183:J188"/>
    <mergeCell ref="K183:K188"/>
    <mergeCell ref="C171:C176"/>
    <mergeCell ref="D171:D176"/>
    <mergeCell ref="A3:P3"/>
    <mergeCell ref="C4:O4"/>
    <mergeCell ref="A8:Q8"/>
    <mergeCell ref="A9:A14"/>
    <mergeCell ref="B9:B14"/>
    <mergeCell ref="C9:C14"/>
    <mergeCell ref="D9:D14"/>
    <mergeCell ref="G9:G14"/>
    <mergeCell ref="E9:E14"/>
    <mergeCell ref="A5:A6"/>
    <mergeCell ref="E5:E6"/>
    <mergeCell ref="F5:F6"/>
    <mergeCell ref="B5:C5"/>
    <mergeCell ref="D5:D6"/>
    <mergeCell ref="H5:H6"/>
    <mergeCell ref="Q5:Q6"/>
    <mergeCell ref="G5:G6"/>
    <mergeCell ref="I5:I6"/>
    <mergeCell ref="J5:J6"/>
    <mergeCell ref="Q9:Q14"/>
    <mergeCell ref="F9:F14"/>
    <mergeCell ref="I9:I14"/>
    <mergeCell ref="E347:E352"/>
    <mergeCell ref="F347:F352"/>
    <mergeCell ref="G347:G352"/>
    <mergeCell ref="H347:H352"/>
    <mergeCell ref="J347:J352"/>
    <mergeCell ref="I347:I352"/>
    <mergeCell ref="A341:A346"/>
    <mergeCell ref="Q341:Q346"/>
    <mergeCell ref="A347:A352"/>
    <mergeCell ref="Q347:Q352"/>
    <mergeCell ref="K341:K346"/>
    <mergeCell ref="L341:L346"/>
    <mergeCell ref="B177:B182"/>
    <mergeCell ref="C177:C182"/>
    <mergeCell ref="D177:D182"/>
    <mergeCell ref="E177:E182"/>
    <mergeCell ref="G177:G182"/>
    <mergeCell ref="F177:F182"/>
    <mergeCell ref="H177:H182"/>
    <mergeCell ref="I177:I182"/>
    <mergeCell ref="J177:J182"/>
    <mergeCell ref="I195:I200"/>
    <mergeCell ref="C291:C295"/>
    <mergeCell ref="D291:D295"/>
    <mergeCell ref="E291:E295"/>
    <mergeCell ref="F291:F295"/>
    <mergeCell ref="G291:G295"/>
    <mergeCell ref="H291:H295"/>
    <mergeCell ref="I291:I295"/>
    <mergeCell ref="D225:D230"/>
    <mergeCell ref="E225:E230"/>
    <mergeCell ref="G225:G230"/>
    <mergeCell ref="E341:E346"/>
    <mergeCell ref="F341:F346"/>
    <mergeCell ref="G341:G346"/>
    <mergeCell ref="B341:B346"/>
    <mergeCell ref="C341:C346"/>
    <mergeCell ref="D341:D346"/>
    <mergeCell ref="A340:Q340"/>
    <mergeCell ref="I341:I346"/>
    <mergeCell ref="P69:P74"/>
    <mergeCell ref="Q57:Q62"/>
    <mergeCell ref="Q51:Q56"/>
    <mergeCell ref="Q183:Q188"/>
    <mergeCell ref="Q189:Q194"/>
    <mergeCell ref="N45:P50"/>
    <mergeCell ref="N51:P56"/>
    <mergeCell ref="N57:P62"/>
    <mergeCell ref="F225:F230"/>
    <mergeCell ref="I225:I230"/>
    <mergeCell ref="H225:H230"/>
    <mergeCell ref="I231:I236"/>
    <mergeCell ref="P231:P236"/>
    <mergeCell ref="J225:J230"/>
    <mergeCell ref="Q225:Q230"/>
    <mergeCell ref="Q231:Q236"/>
    <mergeCell ref="K231:K236"/>
    <mergeCell ref="L231:L236"/>
    <mergeCell ref="A231:A236"/>
    <mergeCell ref="B231:B236"/>
    <mergeCell ref="C231:C236"/>
    <mergeCell ref="D231:D236"/>
    <mergeCell ref="E231:E236"/>
    <mergeCell ref="B171:B176"/>
    <mergeCell ref="F171:F176"/>
    <mergeCell ref="G171:G176"/>
    <mergeCell ref="H171:H176"/>
    <mergeCell ref="E165:E170"/>
    <mergeCell ref="F165:F170"/>
    <mergeCell ref="G165:G170"/>
    <mergeCell ref="H165:H170"/>
    <mergeCell ref="A165:A170"/>
    <mergeCell ref="G51:G56"/>
    <mergeCell ref="F51:F56"/>
    <mergeCell ref="A45:A50"/>
    <mergeCell ref="B45:B50"/>
    <mergeCell ref="A333:A339"/>
    <mergeCell ref="G231:G236"/>
    <mergeCell ref="F231:F236"/>
    <mergeCell ref="H231:H236"/>
    <mergeCell ref="E296:E302"/>
    <mergeCell ref="F296:F302"/>
    <mergeCell ref="G296:G302"/>
    <mergeCell ref="A81:A86"/>
    <mergeCell ref="B75:B80"/>
    <mergeCell ref="C75:C80"/>
    <mergeCell ref="D75:D80"/>
    <mergeCell ref="E75:E80"/>
    <mergeCell ref="G75:G80"/>
    <mergeCell ref="F75:F80"/>
    <mergeCell ref="H75:H80"/>
    <mergeCell ref="A87:A92"/>
    <mergeCell ref="A93:A98"/>
    <mergeCell ref="B87:B92"/>
    <mergeCell ref="C87:C92"/>
    <mergeCell ref="A225:A230"/>
    <mergeCell ref="I171:I176"/>
    <mergeCell ref="F63:F68"/>
    <mergeCell ref="F105:F110"/>
    <mergeCell ref="G105:G110"/>
    <mergeCell ref="H105:H110"/>
    <mergeCell ref="I105:I110"/>
    <mergeCell ref="K141:K146"/>
    <mergeCell ref="L141:L146"/>
    <mergeCell ref="Q159:Q164"/>
    <mergeCell ref="P15:P20"/>
    <mergeCell ref="B159:B164"/>
    <mergeCell ref="C159:C164"/>
    <mergeCell ref="D159:D164"/>
    <mergeCell ref="E159:E164"/>
    <mergeCell ref="F159:F164"/>
    <mergeCell ref="A171:A176"/>
    <mergeCell ref="G33:G38"/>
    <mergeCell ref="F33:F38"/>
    <mergeCell ref="H33:H38"/>
    <mergeCell ref="G57:G62"/>
    <mergeCell ref="F57:F62"/>
    <mergeCell ref="H57:H62"/>
    <mergeCell ref="F27:F32"/>
    <mergeCell ref="A21:A26"/>
    <mergeCell ref="B21:B26"/>
    <mergeCell ref="C21:C26"/>
    <mergeCell ref="D21:D26"/>
    <mergeCell ref="E21:E26"/>
    <mergeCell ref="G21:G26"/>
    <mergeCell ref="H21:H26"/>
    <mergeCell ref="F21:F26"/>
    <mergeCell ref="E171:E176"/>
    <mergeCell ref="S165:S170"/>
    <mergeCell ref="S171:S176"/>
    <mergeCell ref="K171:K176"/>
    <mergeCell ref="L171:L176"/>
    <mergeCell ref="S177:S182"/>
    <mergeCell ref="K177:K182"/>
    <mergeCell ref="K33:K38"/>
    <mergeCell ref="Q39:Q44"/>
    <mergeCell ref="L39:L44"/>
    <mergeCell ref="S45:S50"/>
    <mergeCell ref="S347:S352"/>
    <mergeCell ref="Q165:Q170"/>
    <mergeCell ref="J219:J224"/>
    <mergeCell ref="S183:S188"/>
    <mergeCell ref="B15:B20"/>
    <mergeCell ref="D15:D20"/>
    <mergeCell ref="H15:H20"/>
    <mergeCell ref="E15:E20"/>
    <mergeCell ref="I33:I38"/>
    <mergeCell ref="J33:J38"/>
    <mergeCell ref="I57:I62"/>
    <mergeCell ref="I27:I32"/>
    <mergeCell ref="J27:J32"/>
    <mergeCell ref="J21:J26"/>
    <mergeCell ref="I21:I26"/>
    <mergeCell ref="J39:J44"/>
    <mergeCell ref="L57:L62"/>
    <mergeCell ref="I69:I74"/>
    <mergeCell ref="J69:J74"/>
    <mergeCell ref="Q171:Q176"/>
    <mergeCell ref="S159:S164"/>
    <mergeCell ref="L159:L164"/>
    <mergeCell ref="K159:K164"/>
    <mergeCell ref="P9:P14"/>
    <mergeCell ref="L15:L20"/>
    <mergeCell ref="R15:R20"/>
    <mergeCell ref="J15:J20"/>
    <mergeCell ref="K15:K20"/>
    <mergeCell ref="J341:J346"/>
    <mergeCell ref="K333:K339"/>
    <mergeCell ref="J333:J339"/>
    <mergeCell ref="K165:K170"/>
    <mergeCell ref="L165:L170"/>
    <mergeCell ref="J165:J170"/>
    <mergeCell ref="J171:J176"/>
    <mergeCell ref="N63:P68"/>
    <mergeCell ref="P255:P260"/>
    <mergeCell ref="N261:N262"/>
    <mergeCell ref="N263:N264"/>
    <mergeCell ref="O265:O266"/>
    <mergeCell ref="O267:O268"/>
    <mergeCell ref="O269:O270"/>
    <mergeCell ref="P273:P278"/>
    <mergeCell ref="J279:J284"/>
    <mergeCell ref="K45:K50"/>
    <mergeCell ref="L45:L50"/>
    <mergeCell ref="M271:M272"/>
    <mergeCell ref="N9:O13"/>
    <mergeCell ref="P249:P254"/>
    <mergeCell ref="Q177:Q182"/>
    <mergeCell ref="J231:J236"/>
    <mergeCell ref="K296:K302"/>
    <mergeCell ref="L296:L302"/>
    <mergeCell ref="Q261:Q265"/>
    <mergeCell ref="K347:K352"/>
    <mergeCell ref="S321:S326"/>
    <mergeCell ref="N347:O351"/>
    <mergeCell ref="N342:O345"/>
    <mergeCell ref="I63:I68"/>
    <mergeCell ref="J63:J68"/>
    <mergeCell ref="P33:P38"/>
    <mergeCell ref="P21:P26"/>
    <mergeCell ref="P39:P44"/>
    <mergeCell ref="H51:H56"/>
    <mergeCell ref="I51:I56"/>
    <mergeCell ref="K5:L5"/>
    <mergeCell ref="L333:L339"/>
    <mergeCell ref="S341:S346"/>
    <mergeCell ref="S563:S568"/>
    <mergeCell ref="P105:P110"/>
    <mergeCell ref="P377:P382"/>
    <mergeCell ref="S69:S74"/>
    <mergeCell ref="Q69:Q74"/>
    <mergeCell ref="K57:K62"/>
    <mergeCell ref="Q63:Q68"/>
    <mergeCell ref="M5:P5"/>
    <mergeCell ref="L33:L38"/>
    <mergeCell ref="K39:K44"/>
    <mergeCell ref="S27:S32"/>
    <mergeCell ref="J51:J56"/>
    <mergeCell ref="K27:K32"/>
    <mergeCell ref="L27:L32"/>
    <mergeCell ref="S15:S20"/>
    <mergeCell ref="L21:L26"/>
    <mergeCell ref="K21:K26"/>
    <mergeCell ref="S21:S26"/>
    <mergeCell ref="S33:S38"/>
    <mergeCell ref="N87:O92"/>
    <mergeCell ref="P87:P92"/>
    <mergeCell ref="N93:P98"/>
    <mergeCell ref="S57:S62"/>
    <mergeCell ref="K63:K68"/>
    <mergeCell ref="L63:L68"/>
    <mergeCell ref="N27:O31"/>
    <mergeCell ref="N33:O37"/>
    <mergeCell ref="N21:O25"/>
    <mergeCell ref="N39:O43"/>
    <mergeCell ref="N15:O19"/>
    <mergeCell ref="N69:O73"/>
    <mergeCell ref="N74:O74"/>
    <mergeCell ref="N80:O80"/>
    <mergeCell ref="N81:O85"/>
    <mergeCell ref="N86:O86"/>
    <mergeCell ref="Q81:Q86"/>
    <mergeCell ref="S75:S80"/>
    <mergeCell ref="Q75:Q80"/>
    <mergeCell ref="S93:S98"/>
    <mergeCell ref="K93:K98"/>
    <mergeCell ref="L93:L98"/>
    <mergeCell ref="Q87:Q92"/>
    <mergeCell ref="Q93:Q98"/>
    <mergeCell ref="C15:C20"/>
    <mergeCell ref="Q15:Q20"/>
    <mergeCell ref="Q21:Q26"/>
    <mergeCell ref="Q27:Q32"/>
    <mergeCell ref="Q33:Q38"/>
    <mergeCell ref="J599:J605"/>
    <mergeCell ref="H341:H346"/>
    <mergeCell ref="J371:J376"/>
    <mergeCell ref="J389:J394"/>
    <mergeCell ref="J395:J400"/>
    <mergeCell ref="J437:J442"/>
    <mergeCell ref="A27:A32"/>
    <mergeCell ref="B27:B32"/>
    <mergeCell ref="C27:C32"/>
    <mergeCell ref="D27:D32"/>
    <mergeCell ref="G27:G32"/>
    <mergeCell ref="H27:H32"/>
    <mergeCell ref="K51:K56"/>
    <mergeCell ref="E27:E32"/>
    <mergeCell ref="A33:A38"/>
    <mergeCell ref="B33:B38"/>
    <mergeCell ref="C33:C38"/>
    <mergeCell ref="D33:D38"/>
    <mergeCell ref="E33:E38"/>
    <mergeCell ref="A51:A56"/>
    <mergeCell ref="B51:B56"/>
    <mergeCell ref="C51:C56"/>
    <mergeCell ref="D51:D56"/>
    <mergeCell ref="E51:E56"/>
    <mergeCell ref="L87:L92"/>
    <mergeCell ref="C45:C50"/>
    <mergeCell ref="D45:D50"/>
    <mergeCell ref="A39:A44"/>
    <mergeCell ref="I45:I50"/>
    <mergeCell ref="J45:J50"/>
    <mergeCell ref="B63:B68"/>
    <mergeCell ref="C63:C68"/>
    <mergeCell ref="D63:D68"/>
    <mergeCell ref="E63:E68"/>
    <mergeCell ref="J57:J62"/>
    <mergeCell ref="S39:S44"/>
    <mergeCell ref="B39:B44"/>
    <mergeCell ref="C39:C44"/>
    <mergeCell ref="D39:D44"/>
    <mergeCell ref="E39:E44"/>
    <mergeCell ref="G39:G44"/>
    <mergeCell ref="F39:F44"/>
    <mergeCell ref="H39:H44"/>
    <mergeCell ref="I39:I44"/>
    <mergeCell ref="A57:A62"/>
    <mergeCell ref="B57:B62"/>
    <mergeCell ref="C57:C62"/>
    <mergeCell ref="D57:D62"/>
    <mergeCell ref="E57:E62"/>
    <mergeCell ref="E45:E50"/>
    <mergeCell ref="F45:F50"/>
    <mergeCell ref="G45:G50"/>
    <mergeCell ref="H45:H50"/>
    <mergeCell ref="G63:G68"/>
    <mergeCell ref="A63:A68"/>
    <mergeCell ref="S51:S56"/>
    <mergeCell ref="S63:S68"/>
    <mergeCell ref="L51:L56"/>
    <mergeCell ref="H63:H68"/>
    <mergeCell ref="I75:I80"/>
    <mergeCell ref="J75:J80"/>
    <mergeCell ref="B81:B86"/>
    <mergeCell ref="C81:C86"/>
    <mergeCell ref="D81:D86"/>
    <mergeCell ref="E81:E86"/>
    <mergeCell ref="G81:G86"/>
    <mergeCell ref="I81:I86"/>
    <mergeCell ref="F81:F86"/>
    <mergeCell ref="P81:P86"/>
    <mergeCell ref="P75:P80"/>
    <mergeCell ref="H85:H86"/>
    <mergeCell ref="J85:J86"/>
    <mergeCell ref="K85:K86"/>
    <mergeCell ref="L85:L86"/>
    <mergeCell ref="A69:A74"/>
    <mergeCell ref="B69:B74"/>
    <mergeCell ref="C69:C74"/>
    <mergeCell ref="D69:D74"/>
    <mergeCell ref="E69:E74"/>
    <mergeCell ref="F69:F74"/>
    <mergeCell ref="G69:G74"/>
    <mergeCell ref="H69:H74"/>
    <mergeCell ref="K75:K80"/>
    <mergeCell ref="L75:L80"/>
    <mergeCell ref="A75:A80"/>
    <mergeCell ref="K69:K74"/>
    <mergeCell ref="L69:L74"/>
    <mergeCell ref="D87:D92"/>
    <mergeCell ref="F87:F92"/>
    <mergeCell ref="E87:E92"/>
    <mergeCell ref="G87:G92"/>
    <mergeCell ref="H87:H92"/>
    <mergeCell ref="I87:I92"/>
    <mergeCell ref="J87:J92"/>
    <mergeCell ref="S87:S92"/>
    <mergeCell ref="A99:A104"/>
    <mergeCell ref="Q99:Q104"/>
    <mergeCell ref="B93:B98"/>
    <mergeCell ref="C93:C98"/>
    <mergeCell ref="D93:D98"/>
    <mergeCell ref="E93:E98"/>
    <mergeCell ref="G93:G98"/>
    <mergeCell ref="F93:F98"/>
    <mergeCell ref="H93:H98"/>
    <mergeCell ref="I93:I98"/>
    <mergeCell ref="J93:J98"/>
    <mergeCell ref="S105:S110"/>
    <mergeCell ref="K105:K110"/>
    <mergeCell ref="L105:L110"/>
    <mergeCell ref="A105:A110"/>
    <mergeCell ref="Q105:Q110"/>
    <mergeCell ref="B99:B104"/>
    <mergeCell ref="C99:C104"/>
    <mergeCell ref="D99:D104"/>
    <mergeCell ref="E99:E104"/>
    <mergeCell ref="G99:G104"/>
    <mergeCell ref="F99:F104"/>
    <mergeCell ref="H99:H104"/>
    <mergeCell ref="I99:I104"/>
    <mergeCell ref="J99:J104"/>
    <mergeCell ref="S99:S104"/>
    <mergeCell ref="K99:K104"/>
    <mergeCell ref="L99:L104"/>
    <mergeCell ref="B105:B110"/>
    <mergeCell ref="C105:C110"/>
    <mergeCell ref="D105:D110"/>
    <mergeCell ref="E105:E110"/>
    <mergeCell ref="N99:P104"/>
    <mergeCell ref="N105:O109"/>
    <mergeCell ref="N110:O110"/>
    <mergeCell ref="A117:A122"/>
    <mergeCell ref="Q117:Q122"/>
    <mergeCell ref="B111:B116"/>
    <mergeCell ref="C111:C116"/>
    <mergeCell ref="D111:D116"/>
    <mergeCell ref="F111:F116"/>
    <mergeCell ref="E111:E116"/>
    <mergeCell ref="G111:G116"/>
    <mergeCell ref="H111:H116"/>
    <mergeCell ref="I111:I116"/>
    <mergeCell ref="J111:J116"/>
    <mergeCell ref="S111:S116"/>
    <mergeCell ref="K111:K116"/>
    <mergeCell ref="L111:L116"/>
    <mergeCell ref="A111:A116"/>
    <mergeCell ref="Q111:Q116"/>
    <mergeCell ref="B117:B122"/>
    <mergeCell ref="C117:C122"/>
    <mergeCell ref="D117:D122"/>
    <mergeCell ref="E117:E122"/>
    <mergeCell ref="F117:F122"/>
    <mergeCell ref="G117:G122"/>
    <mergeCell ref="J117:J122"/>
    <mergeCell ref="I117:I122"/>
    <mergeCell ref="H117:H122"/>
    <mergeCell ref="S117:S122"/>
    <mergeCell ref="K117:K122"/>
    <mergeCell ref="L117:L122"/>
    <mergeCell ref="P111:P116"/>
    <mergeCell ref="P117:P122"/>
    <mergeCell ref="N111:O115"/>
    <mergeCell ref="N116:O116"/>
    <mergeCell ref="A129:A134"/>
    <mergeCell ref="Q129:Q134"/>
    <mergeCell ref="B123:B128"/>
    <mergeCell ref="C123:C128"/>
    <mergeCell ref="D123:D128"/>
    <mergeCell ref="E123:E128"/>
    <mergeCell ref="F123:F128"/>
    <mergeCell ref="G123:G128"/>
    <mergeCell ref="H123:H128"/>
    <mergeCell ref="I123:I128"/>
    <mergeCell ref="J123:J128"/>
    <mergeCell ref="S123:S128"/>
    <mergeCell ref="K123:K128"/>
    <mergeCell ref="L123:L128"/>
    <mergeCell ref="A123:A128"/>
    <mergeCell ref="Q123:Q128"/>
    <mergeCell ref="B129:B134"/>
    <mergeCell ref="C129:C134"/>
    <mergeCell ref="D129:D134"/>
    <mergeCell ref="E129:E134"/>
    <mergeCell ref="F129:F134"/>
    <mergeCell ref="G129:G134"/>
    <mergeCell ref="H129:H134"/>
    <mergeCell ref="K129:K134"/>
    <mergeCell ref="I129:I134"/>
    <mergeCell ref="J129:J134"/>
    <mergeCell ref="P123:P128"/>
    <mergeCell ref="P129:P134"/>
    <mergeCell ref="S129:S134"/>
    <mergeCell ref="L129:L134"/>
    <mergeCell ref="A141:A146"/>
    <mergeCell ref="Q141:Q146"/>
    <mergeCell ref="B135:B140"/>
    <mergeCell ref="C135:C140"/>
    <mergeCell ref="D135:D140"/>
    <mergeCell ref="E135:E140"/>
    <mergeCell ref="F135:F140"/>
    <mergeCell ref="G135:G140"/>
    <mergeCell ref="H135:H140"/>
    <mergeCell ref="I135:I140"/>
    <mergeCell ref="J135:J140"/>
    <mergeCell ref="S135:S140"/>
    <mergeCell ref="K135:K140"/>
    <mergeCell ref="L135:L140"/>
    <mergeCell ref="A135:A140"/>
    <mergeCell ref="Q135:Q140"/>
    <mergeCell ref="B141:B146"/>
    <mergeCell ref="C141:C146"/>
    <mergeCell ref="D141:D146"/>
    <mergeCell ref="E141:E146"/>
    <mergeCell ref="F141:F146"/>
    <mergeCell ref="G141:G146"/>
    <mergeCell ref="H141:H146"/>
    <mergeCell ref="I141:I146"/>
    <mergeCell ref="J141:J146"/>
    <mergeCell ref="P135:P140"/>
    <mergeCell ref="P141:P146"/>
    <mergeCell ref="S141:S146"/>
    <mergeCell ref="A153:A158"/>
    <mergeCell ref="Q153:Q158"/>
    <mergeCell ref="B147:B152"/>
    <mergeCell ref="C147:C152"/>
    <mergeCell ref="D147:D152"/>
    <mergeCell ref="E147:E152"/>
    <mergeCell ref="F147:F152"/>
    <mergeCell ref="G147:G152"/>
    <mergeCell ref="H147:H152"/>
    <mergeCell ref="K147:K152"/>
    <mergeCell ref="I147:I152"/>
    <mergeCell ref="J147:J152"/>
    <mergeCell ref="S147:S152"/>
    <mergeCell ref="L147:L152"/>
    <mergeCell ref="A147:A152"/>
    <mergeCell ref="Q147:Q152"/>
    <mergeCell ref="B153:B158"/>
    <mergeCell ref="C153:C158"/>
    <mergeCell ref="D153:D158"/>
    <mergeCell ref="E153:E158"/>
    <mergeCell ref="F153:F158"/>
    <mergeCell ref="G153:G158"/>
    <mergeCell ref="I153:I158"/>
    <mergeCell ref="H153:H158"/>
    <mergeCell ref="J153:J158"/>
    <mergeCell ref="P147:P152"/>
    <mergeCell ref="S153:S158"/>
    <mergeCell ref="K153:K158"/>
    <mergeCell ref="L153:L158"/>
    <mergeCell ref="A159:A164"/>
    <mergeCell ref="G159:G164"/>
    <mergeCell ref="I159:I164"/>
    <mergeCell ref="H159:H164"/>
    <mergeCell ref="J159:J164"/>
    <mergeCell ref="I165:I170"/>
    <mergeCell ref="A177:A182"/>
    <mergeCell ref="B165:B170"/>
    <mergeCell ref="C165:C170"/>
    <mergeCell ref="D165:D170"/>
    <mergeCell ref="H509:H514"/>
    <mergeCell ref="J509:J514"/>
    <mergeCell ref="S509:S514"/>
    <mergeCell ref="K509:K514"/>
    <mergeCell ref="L509:L514"/>
    <mergeCell ref="A515:A520"/>
    <mergeCell ref="B515:B520"/>
    <mergeCell ref="C515:C520"/>
    <mergeCell ref="D515:D520"/>
    <mergeCell ref="E515:E520"/>
    <mergeCell ref="F515:F520"/>
    <mergeCell ref="G515:G520"/>
    <mergeCell ref="H515:H520"/>
    <mergeCell ref="J515:J520"/>
    <mergeCell ref="I515:I520"/>
    <mergeCell ref="S515:S520"/>
    <mergeCell ref="K515:K520"/>
    <mergeCell ref="L515:L520"/>
    <mergeCell ref="J449:J454"/>
    <mergeCell ref="J461:J466"/>
    <mergeCell ref="H473:H474"/>
    <mergeCell ref="H475:H478"/>
    <mergeCell ref="A527:A532"/>
    <mergeCell ref="B527:B532"/>
    <mergeCell ref="C527:C532"/>
    <mergeCell ref="D527:D532"/>
    <mergeCell ref="E527:E532"/>
    <mergeCell ref="G527:G532"/>
    <mergeCell ref="F527:F532"/>
    <mergeCell ref="K527:K532"/>
    <mergeCell ref="I527:I532"/>
    <mergeCell ref="H527:H532"/>
    <mergeCell ref="J527:J532"/>
    <mergeCell ref="S527:S532"/>
    <mergeCell ref="L527:L532"/>
    <mergeCell ref="A533:A538"/>
    <mergeCell ref="B533:B538"/>
    <mergeCell ref="C533:C538"/>
    <mergeCell ref="D533:D538"/>
    <mergeCell ref="E533:E538"/>
    <mergeCell ref="G533:G538"/>
    <mergeCell ref="F533:F538"/>
    <mergeCell ref="I533:I538"/>
    <mergeCell ref="H533:H538"/>
    <mergeCell ref="J533:J538"/>
    <mergeCell ref="S533:S538"/>
    <mergeCell ref="K533:K538"/>
    <mergeCell ref="L533:L538"/>
    <mergeCell ref="P527:P532"/>
    <mergeCell ref="N530:O530"/>
    <mergeCell ref="A539:A544"/>
    <mergeCell ref="B539:B544"/>
    <mergeCell ref="C539:C544"/>
    <mergeCell ref="D539:D544"/>
    <mergeCell ref="E539:E544"/>
    <mergeCell ref="F539:F544"/>
    <mergeCell ref="G539:G544"/>
    <mergeCell ref="H539:H544"/>
    <mergeCell ref="I539:I544"/>
    <mergeCell ref="J539:J544"/>
    <mergeCell ref="K539:K544"/>
    <mergeCell ref="S539:S544"/>
    <mergeCell ref="L539:L544"/>
    <mergeCell ref="A545:A550"/>
    <mergeCell ref="B545:B550"/>
    <mergeCell ref="C545:C550"/>
    <mergeCell ref="D545:D550"/>
    <mergeCell ref="E545:E550"/>
    <mergeCell ref="F545:F550"/>
    <mergeCell ref="G545:G550"/>
    <mergeCell ref="H545:H550"/>
    <mergeCell ref="J545:J550"/>
    <mergeCell ref="I545:I550"/>
    <mergeCell ref="S545:S550"/>
    <mergeCell ref="K545:K550"/>
    <mergeCell ref="L545:L550"/>
    <mergeCell ref="P539:P544"/>
    <mergeCell ref="P545:P550"/>
    <mergeCell ref="N539:O539"/>
    <mergeCell ref="C551:C556"/>
    <mergeCell ref="D551:D556"/>
    <mergeCell ref="E551:E556"/>
    <mergeCell ref="F551:F556"/>
    <mergeCell ref="G551:G556"/>
    <mergeCell ref="H551:H556"/>
    <mergeCell ref="J551:J556"/>
    <mergeCell ref="I551:I556"/>
    <mergeCell ref="S551:S556"/>
    <mergeCell ref="K551:K556"/>
    <mergeCell ref="L551:L556"/>
    <mergeCell ref="A557:A562"/>
    <mergeCell ref="B557:B562"/>
    <mergeCell ref="C557:C562"/>
    <mergeCell ref="D557:D562"/>
    <mergeCell ref="E557:E562"/>
    <mergeCell ref="F557:F562"/>
    <mergeCell ref="G557:G562"/>
    <mergeCell ref="H557:H562"/>
    <mergeCell ref="I557:I562"/>
    <mergeCell ref="J557:J562"/>
    <mergeCell ref="S557:S562"/>
    <mergeCell ref="K557:K562"/>
    <mergeCell ref="L557:L562"/>
    <mergeCell ref="N551:O556"/>
    <mergeCell ref="P551:P556"/>
    <mergeCell ref="G607:G615"/>
    <mergeCell ref="G616:G626"/>
    <mergeCell ref="I607:I615"/>
    <mergeCell ref="I616:I626"/>
    <mergeCell ref="Q607:Q615"/>
    <mergeCell ref="Q616:Q626"/>
    <mergeCell ref="K563:K568"/>
    <mergeCell ref="L563:L568"/>
    <mergeCell ref="A607:A615"/>
    <mergeCell ref="B607:B615"/>
    <mergeCell ref="C607:C615"/>
    <mergeCell ref="D607:D615"/>
    <mergeCell ref="E607:E615"/>
    <mergeCell ref="F607:F615"/>
    <mergeCell ref="A616:A626"/>
    <mergeCell ref="B616:B626"/>
    <mergeCell ref="G563:G568"/>
    <mergeCell ref="H563:H568"/>
    <mergeCell ref="N566:P566"/>
    <mergeCell ref="A563:A568"/>
    <mergeCell ref="B563:B568"/>
    <mergeCell ref="C563:C568"/>
    <mergeCell ref="D563:D568"/>
    <mergeCell ref="E563:E568"/>
    <mergeCell ref="K599:K605"/>
    <mergeCell ref="F563:F568"/>
    <mergeCell ref="I563:I568"/>
    <mergeCell ref="A599:A605"/>
    <mergeCell ref="L599:L605"/>
    <mergeCell ref="M616:O618"/>
    <mergeCell ref="B569:B574"/>
    <mergeCell ref="A587:A592"/>
    <mergeCell ref="C633:C638"/>
    <mergeCell ref="D633:D638"/>
    <mergeCell ref="E633:E638"/>
    <mergeCell ref="F633:F638"/>
    <mergeCell ref="G633:G638"/>
    <mergeCell ref="H633:H638"/>
    <mergeCell ref="J633:J638"/>
    <mergeCell ref="I633:I638"/>
    <mergeCell ref="S633:S638"/>
    <mergeCell ref="Q639:Q644"/>
    <mergeCell ref="B645:B650"/>
    <mergeCell ref="C645:C650"/>
    <mergeCell ref="D645:D650"/>
    <mergeCell ref="E645:E650"/>
    <mergeCell ref="F645:F650"/>
    <mergeCell ref="G645:G650"/>
    <mergeCell ref="C616:C626"/>
    <mergeCell ref="D616:D626"/>
    <mergeCell ref="E616:E626"/>
    <mergeCell ref="F616:F626"/>
    <mergeCell ref="H645:H650"/>
    <mergeCell ref="I645:I650"/>
    <mergeCell ref="J645:J650"/>
    <mergeCell ref="S645:S650"/>
    <mergeCell ref="K645:K650"/>
    <mergeCell ref="L645:L650"/>
    <mergeCell ref="P633:P638"/>
    <mergeCell ref="P639:P644"/>
    <mergeCell ref="P645:P650"/>
    <mergeCell ref="Q627:Q632"/>
    <mergeCell ref="Q633:Q638"/>
    <mergeCell ref="P616:P626"/>
    <mergeCell ref="A627:A632"/>
    <mergeCell ref="B627:B632"/>
    <mergeCell ref="C627:C632"/>
    <mergeCell ref="D627:D632"/>
    <mergeCell ref="E627:E632"/>
    <mergeCell ref="F627:F632"/>
    <mergeCell ref="G627:G632"/>
    <mergeCell ref="H627:H632"/>
    <mergeCell ref="J627:J632"/>
    <mergeCell ref="I627:I632"/>
    <mergeCell ref="S627:S632"/>
    <mergeCell ref="K627:K632"/>
    <mergeCell ref="L627:L632"/>
    <mergeCell ref="K633:K638"/>
    <mergeCell ref="L633:L638"/>
    <mergeCell ref="A651:A656"/>
    <mergeCell ref="A639:A644"/>
    <mergeCell ref="A645:A650"/>
    <mergeCell ref="B639:B644"/>
    <mergeCell ref="C639:C644"/>
    <mergeCell ref="D639:D644"/>
    <mergeCell ref="E639:E644"/>
    <mergeCell ref="F639:F644"/>
    <mergeCell ref="G639:G644"/>
    <mergeCell ref="H639:H644"/>
    <mergeCell ref="I639:I644"/>
    <mergeCell ref="J639:J644"/>
    <mergeCell ref="S639:S644"/>
    <mergeCell ref="K639:K644"/>
    <mergeCell ref="L639:L644"/>
    <mergeCell ref="A633:A638"/>
    <mergeCell ref="B633:B638"/>
    <mergeCell ref="S651:S652"/>
    <mergeCell ref="K651:K656"/>
    <mergeCell ref="L651:L656"/>
    <mergeCell ref="A657:A662"/>
    <mergeCell ref="B657:B662"/>
    <mergeCell ref="C657:C662"/>
    <mergeCell ref="D657:D662"/>
    <mergeCell ref="E657:E662"/>
    <mergeCell ref="F657:F662"/>
    <mergeCell ref="G657:G662"/>
    <mergeCell ref="H657:H662"/>
    <mergeCell ref="I657:I662"/>
    <mergeCell ref="J657:J662"/>
    <mergeCell ref="S657:S662"/>
    <mergeCell ref="K657:K662"/>
    <mergeCell ref="L657:L662"/>
    <mergeCell ref="P651:P656"/>
    <mergeCell ref="P657:P662"/>
    <mergeCell ref="S663:S668"/>
    <mergeCell ref="K663:K668"/>
    <mergeCell ref="L663:L668"/>
    <mergeCell ref="A669:A674"/>
    <mergeCell ref="B669:B674"/>
    <mergeCell ref="C669:C674"/>
    <mergeCell ref="D669:D674"/>
    <mergeCell ref="E669:E674"/>
    <mergeCell ref="F669:F674"/>
    <mergeCell ref="G669:G674"/>
    <mergeCell ref="J669:J674"/>
    <mergeCell ref="I669:I674"/>
    <mergeCell ref="H669:H674"/>
    <mergeCell ref="S669:S674"/>
    <mergeCell ref="K669:K674"/>
    <mergeCell ref="L669:L674"/>
    <mergeCell ref="P669:P674"/>
    <mergeCell ref="S693:S698"/>
    <mergeCell ref="K693:K698"/>
    <mergeCell ref="L693:L698"/>
    <mergeCell ref="A699:A704"/>
    <mergeCell ref="B699:B704"/>
    <mergeCell ref="C699:C704"/>
    <mergeCell ref="D699:D704"/>
    <mergeCell ref="F699:F704"/>
    <mergeCell ref="L675:L680"/>
    <mergeCell ref="A681:A686"/>
    <mergeCell ref="B681:B686"/>
    <mergeCell ref="C681:C686"/>
    <mergeCell ref="D681:D686"/>
    <mergeCell ref="E681:E686"/>
    <mergeCell ref="F681:F686"/>
    <mergeCell ref="G681:G686"/>
    <mergeCell ref="H681:H686"/>
    <mergeCell ref="I681:I686"/>
    <mergeCell ref="J681:J686"/>
    <mergeCell ref="S681:S686"/>
    <mergeCell ref="K681:K686"/>
    <mergeCell ref="L681:L686"/>
    <mergeCell ref="L687:L692"/>
    <mergeCell ref="S687:S692"/>
    <mergeCell ref="P693:P698"/>
    <mergeCell ref="Q675:Q680"/>
    <mergeCell ref="Q681:Q686"/>
    <mergeCell ref="Q687:Q692"/>
    <mergeCell ref="Q693:Q698"/>
    <mergeCell ref="Q699:Q704"/>
    <mergeCell ref="A687:A692"/>
    <mergeCell ref="B687:B692"/>
    <mergeCell ref="C693:C698"/>
    <mergeCell ref="D693:D698"/>
    <mergeCell ref="E699:E704"/>
    <mergeCell ref="F693:F698"/>
    <mergeCell ref="G693:G698"/>
    <mergeCell ref="H693:H698"/>
    <mergeCell ref="I693:I698"/>
    <mergeCell ref="J693:J698"/>
    <mergeCell ref="A693:A698"/>
    <mergeCell ref="A729:A734"/>
    <mergeCell ref="A735:A740"/>
    <mergeCell ref="E741:E746"/>
    <mergeCell ref="F741:F746"/>
    <mergeCell ref="G741:G746"/>
    <mergeCell ref="H741:H746"/>
    <mergeCell ref="I741:I746"/>
    <mergeCell ref="J741:J746"/>
    <mergeCell ref="A705:A710"/>
    <mergeCell ref="B705:B710"/>
    <mergeCell ref="C705:C710"/>
    <mergeCell ref="J723:J728"/>
    <mergeCell ref="I723:I728"/>
    <mergeCell ref="A711:A716"/>
    <mergeCell ref="B711:B716"/>
    <mergeCell ref="C711:C716"/>
    <mergeCell ref="D705:D710"/>
    <mergeCell ref="E705:E710"/>
    <mergeCell ref="F705:F710"/>
    <mergeCell ref="G705:G710"/>
    <mergeCell ref="H705:H710"/>
    <mergeCell ref="I705:I710"/>
    <mergeCell ref="J705:J710"/>
    <mergeCell ref="A747:A752"/>
    <mergeCell ref="B747:B752"/>
    <mergeCell ref="C747:C752"/>
    <mergeCell ref="D747:D752"/>
    <mergeCell ref="E747:E752"/>
    <mergeCell ref="F747:F752"/>
    <mergeCell ref="G747:G752"/>
    <mergeCell ref="H747:H752"/>
    <mergeCell ref="I747:I752"/>
    <mergeCell ref="J747:J752"/>
    <mergeCell ref="I729:I734"/>
    <mergeCell ref="J729:J734"/>
    <mergeCell ref="D711:D716"/>
    <mergeCell ref="E711:E716"/>
    <mergeCell ref="A717:A722"/>
    <mergeCell ref="B717:B722"/>
    <mergeCell ref="C717:C722"/>
    <mergeCell ref="J711:J716"/>
    <mergeCell ref="D729:D734"/>
    <mergeCell ref="A741:A746"/>
    <mergeCell ref="B741:B746"/>
    <mergeCell ref="C741:C746"/>
    <mergeCell ref="D741:D746"/>
    <mergeCell ref="S717:S722"/>
    <mergeCell ref="K717:K722"/>
    <mergeCell ref="L717:L722"/>
    <mergeCell ref="A723:A728"/>
    <mergeCell ref="B723:B728"/>
    <mergeCell ref="C723:C728"/>
    <mergeCell ref="D723:D728"/>
    <mergeCell ref="E723:E728"/>
    <mergeCell ref="F723:F728"/>
    <mergeCell ref="G723:G728"/>
    <mergeCell ref="H723:H728"/>
    <mergeCell ref="S711:S716"/>
    <mergeCell ref="A767:A772"/>
    <mergeCell ref="A759:A765"/>
    <mergeCell ref="G699:G704"/>
    <mergeCell ref="H699:H704"/>
    <mergeCell ref="I699:I704"/>
    <mergeCell ref="J699:J704"/>
    <mergeCell ref="S699:S704"/>
    <mergeCell ref="K699:K704"/>
    <mergeCell ref="L699:L704"/>
    <mergeCell ref="F711:F716"/>
    <mergeCell ref="G711:G716"/>
    <mergeCell ref="H711:H716"/>
    <mergeCell ref="I711:I716"/>
    <mergeCell ref="D717:D722"/>
    <mergeCell ref="E717:E722"/>
    <mergeCell ref="F717:F722"/>
    <mergeCell ref="G717:G722"/>
    <mergeCell ref="H717:H722"/>
    <mergeCell ref="I717:I722"/>
    <mergeCell ref="J717:J722"/>
    <mergeCell ref="S705:S710"/>
    <mergeCell ref="B735:B740"/>
    <mergeCell ref="C735:C740"/>
    <mergeCell ref="S741:S746"/>
    <mergeCell ref="S767:S772"/>
    <mergeCell ref="K767:K772"/>
    <mergeCell ref="L767:L772"/>
    <mergeCell ref="K741:K746"/>
    <mergeCell ref="L741:L746"/>
    <mergeCell ref="K711:K716"/>
    <mergeCell ref="L711:L716"/>
    <mergeCell ref="D735:D740"/>
    <mergeCell ref="E735:E740"/>
    <mergeCell ref="G735:G740"/>
    <mergeCell ref="F735:F740"/>
    <mergeCell ref="H735:H740"/>
    <mergeCell ref="J735:J740"/>
    <mergeCell ref="I735:I740"/>
    <mergeCell ref="S735:S740"/>
    <mergeCell ref="K735:K740"/>
    <mergeCell ref="L735:L740"/>
    <mergeCell ref="S723:S728"/>
    <mergeCell ref="K723:K728"/>
    <mergeCell ref="L723:L728"/>
    <mergeCell ref="E729:E734"/>
    <mergeCell ref="F729:F734"/>
    <mergeCell ref="G729:G734"/>
    <mergeCell ref="H729:H734"/>
    <mergeCell ref="S729:S734"/>
    <mergeCell ref="K729:K734"/>
    <mergeCell ref="L729:L734"/>
    <mergeCell ref="Q729:Q734"/>
    <mergeCell ref="Q741:Q746"/>
    <mergeCell ref="Q747:Q752"/>
    <mergeCell ref="Q759:Q765"/>
    <mergeCell ref="B767:B772"/>
    <mergeCell ref="C767:C772"/>
    <mergeCell ref="D767:D772"/>
    <mergeCell ref="E767:E772"/>
    <mergeCell ref="F767:F772"/>
    <mergeCell ref="G767:G772"/>
    <mergeCell ref="H767:H772"/>
    <mergeCell ref="I767:I772"/>
    <mergeCell ref="J767:J772"/>
    <mergeCell ref="K87:K92"/>
    <mergeCell ref="J105:J110"/>
    <mergeCell ref="L177:L182"/>
    <mergeCell ref="Q315:Q320"/>
    <mergeCell ref="S315:S320"/>
    <mergeCell ref="E693:E698"/>
    <mergeCell ref="B651:B656"/>
    <mergeCell ref="C651:C656"/>
    <mergeCell ref="D651:D656"/>
    <mergeCell ref="B693:B698"/>
    <mergeCell ref="S303:S308"/>
    <mergeCell ref="S675:S680"/>
    <mergeCell ref="C675:C680"/>
    <mergeCell ref="D675:D680"/>
    <mergeCell ref="N401:P406"/>
    <mergeCell ref="S747:S752"/>
    <mergeCell ref="K747:K752"/>
    <mergeCell ref="L747:L752"/>
    <mergeCell ref="B729:B734"/>
    <mergeCell ref="C729:C734"/>
    <mergeCell ref="C687:C692"/>
    <mergeCell ref="D687:D692"/>
    <mergeCell ref="E687:E692"/>
    <mergeCell ref="F687:F692"/>
    <mergeCell ref="G687:G692"/>
    <mergeCell ref="H687:H692"/>
    <mergeCell ref="I687:I692"/>
    <mergeCell ref="E675:E680"/>
    <mergeCell ref="F675:F680"/>
    <mergeCell ref="G675:G680"/>
    <mergeCell ref="H675:H680"/>
    <mergeCell ref="I675:I680"/>
    <mergeCell ref="J675:J680"/>
    <mergeCell ref="K675:K680"/>
    <mergeCell ref="J687:J692"/>
    <mergeCell ref="K687:K692"/>
    <mergeCell ref="A675:A680"/>
    <mergeCell ref="B675:B680"/>
    <mergeCell ref="B321:B326"/>
    <mergeCell ref="C321:C326"/>
    <mergeCell ref="D321:D326"/>
    <mergeCell ref="E321:E326"/>
    <mergeCell ref="F321:F326"/>
    <mergeCell ref="G321:G326"/>
    <mergeCell ref="H321:H326"/>
    <mergeCell ref="I321:I326"/>
    <mergeCell ref="J321:J326"/>
    <mergeCell ref="K321:K326"/>
    <mergeCell ref="L321:L326"/>
    <mergeCell ref="Q321:Q326"/>
    <mergeCell ref="P321:P326"/>
    <mergeCell ref="N497:O497"/>
    <mergeCell ref="A315:A320"/>
    <mergeCell ref="B315:B320"/>
    <mergeCell ref="C315:C320"/>
    <mergeCell ref="D315:D320"/>
    <mergeCell ref="E315:E320"/>
    <mergeCell ref="F315:F320"/>
    <mergeCell ref="G315:G320"/>
    <mergeCell ref="H315:H320"/>
    <mergeCell ref="I315:I320"/>
    <mergeCell ref="J315:J320"/>
    <mergeCell ref="K315:K320"/>
    <mergeCell ref="L315:L320"/>
    <mergeCell ref="L347:L352"/>
    <mergeCell ref="B347:B352"/>
    <mergeCell ref="C347:C352"/>
    <mergeCell ref="D347:D352"/>
    <mergeCell ref="N437:O441"/>
    <mergeCell ref="P353:P358"/>
    <mergeCell ref="M1:Q1"/>
    <mergeCell ref="A303:A308"/>
    <mergeCell ref="B303:B308"/>
    <mergeCell ref="C303:C308"/>
    <mergeCell ref="D303:D308"/>
    <mergeCell ref="E303:E308"/>
    <mergeCell ref="F303:F308"/>
    <mergeCell ref="G303:G308"/>
    <mergeCell ref="H303:H308"/>
    <mergeCell ref="I303:I308"/>
    <mergeCell ref="J303:J308"/>
    <mergeCell ref="K303:K308"/>
    <mergeCell ref="L303:L308"/>
    <mergeCell ref="A663:A668"/>
    <mergeCell ref="B663:B668"/>
    <mergeCell ref="C663:C668"/>
    <mergeCell ref="D663:D668"/>
    <mergeCell ref="E663:E668"/>
    <mergeCell ref="F663:F668"/>
    <mergeCell ref="G663:G668"/>
    <mergeCell ref="H663:H668"/>
    <mergeCell ref="I663:I668"/>
    <mergeCell ref="J663:J668"/>
    <mergeCell ref="E651:E656"/>
    <mergeCell ref="F651:F656"/>
    <mergeCell ref="G651:G656"/>
    <mergeCell ref="H651:H652"/>
    <mergeCell ref="H653:H656"/>
    <mergeCell ref="I651:I656"/>
    <mergeCell ref="A327:A332"/>
    <mergeCell ref="B327:B332"/>
    <mergeCell ref="A321:A326"/>
    <mergeCell ref="S583:S584"/>
    <mergeCell ref="C327:C332"/>
    <mergeCell ref="D327:D332"/>
    <mergeCell ref="E327:E332"/>
    <mergeCell ref="F327:F332"/>
    <mergeCell ref="G327:G332"/>
    <mergeCell ref="H327:H332"/>
    <mergeCell ref="I327:I332"/>
    <mergeCell ref="J327:J332"/>
    <mergeCell ref="K327:K332"/>
    <mergeCell ref="L327:L332"/>
    <mergeCell ref="P327:P332"/>
    <mergeCell ref="Q327:Q332"/>
    <mergeCell ref="S327:S332"/>
    <mergeCell ref="A575:A580"/>
    <mergeCell ref="B575:B580"/>
    <mergeCell ref="C575:C580"/>
    <mergeCell ref="D575:D580"/>
    <mergeCell ref="E575:E580"/>
    <mergeCell ref="F575:F580"/>
    <mergeCell ref="G575:G580"/>
    <mergeCell ref="H575:H580"/>
    <mergeCell ref="I575:I580"/>
    <mergeCell ref="J575:J580"/>
    <mergeCell ref="K575:K580"/>
    <mergeCell ref="L575:L580"/>
    <mergeCell ref="P575:P580"/>
    <mergeCell ref="Q575:Q580"/>
    <mergeCell ref="S575:S580"/>
    <mergeCell ref="A551:A556"/>
    <mergeCell ref="B551:B556"/>
    <mergeCell ref="P443:P448"/>
    <mergeCell ref="A753:A758"/>
    <mergeCell ref="B753:B758"/>
    <mergeCell ref="C753:C758"/>
    <mergeCell ref="D753:D758"/>
    <mergeCell ref="E753:E758"/>
    <mergeCell ref="F753:F758"/>
    <mergeCell ref="G753:G758"/>
    <mergeCell ref="H753:H758"/>
    <mergeCell ref="I753:I758"/>
    <mergeCell ref="J753:J758"/>
    <mergeCell ref="K753:K758"/>
    <mergeCell ref="L753:L758"/>
    <mergeCell ref="P753:P758"/>
    <mergeCell ref="Q753:Q758"/>
    <mergeCell ref="S753:S758"/>
    <mergeCell ref="A581:A586"/>
    <mergeCell ref="B581:B586"/>
    <mergeCell ref="C581:C586"/>
    <mergeCell ref="D581:D586"/>
    <mergeCell ref="E581:E586"/>
    <mergeCell ref="F581:F586"/>
    <mergeCell ref="G581:G586"/>
    <mergeCell ref="I581:I586"/>
    <mergeCell ref="K581:K586"/>
    <mergeCell ref="L581:L586"/>
    <mergeCell ref="P581:P586"/>
    <mergeCell ref="Q581:Q586"/>
    <mergeCell ref="H581:H582"/>
    <mergeCell ref="H583:H584"/>
    <mergeCell ref="J581:J582"/>
    <mergeCell ref="J583:J584"/>
    <mergeCell ref="S581:S582"/>
    <mergeCell ref="B587:B592"/>
    <mergeCell ref="C587:C592"/>
    <mergeCell ref="D587:D592"/>
    <mergeCell ref="E587:E592"/>
    <mergeCell ref="F587:F592"/>
    <mergeCell ref="G587:G592"/>
    <mergeCell ref="H587:H592"/>
    <mergeCell ref="I587:I592"/>
    <mergeCell ref="J587:J592"/>
    <mergeCell ref="K587:K592"/>
    <mergeCell ref="L587:L592"/>
    <mergeCell ref="P587:P592"/>
    <mergeCell ref="Q587:Q592"/>
    <mergeCell ref="S587:S592"/>
    <mergeCell ref="A593:A598"/>
    <mergeCell ref="B593:B598"/>
    <mergeCell ref="C593:C598"/>
    <mergeCell ref="D593:D598"/>
    <mergeCell ref="E593:E598"/>
    <mergeCell ref="F593:F598"/>
    <mergeCell ref="G593:G598"/>
    <mergeCell ref="H593:H598"/>
    <mergeCell ref="I593:I598"/>
    <mergeCell ref="J593:J598"/>
    <mergeCell ref="K593:K598"/>
    <mergeCell ref="L593:L598"/>
    <mergeCell ref="P593:P598"/>
    <mergeCell ref="Q593:Q598"/>
    <mergeCell ref="S593:S598"/>
    <mergeCell ref="H585:H586"/>
    <mergeCell ref="J585:J586"/>
    <mergeCell ref="N687:O691"/>
    <mergeCell ref="N711:O715"/>
    <mergeCell ref="N729:O733"/>
    <mergeCell ref="N767:O771"/>
    <mergeCell ref="N773:O777"/>
    <mergeCell ref="N779:O783"/>
    <mergeCell ref="N785:O789"/>
    <mergeCell ref="N791:O795"/>
    <mergeCell ref="K705:K710"/>
    <mergeCell ref="L705:L710"/>
    <mergeCell ref="J651:J652"/>
    <mergeCell ref="J653:J656"/>
    <mergeCell ref="J291:J295"/>
    <mergeCell ref="N628:O631"/>
    <mergeCell ref="N833:O837"/>
    <mergeCell ref="N633:O637"/>
    <mergeCell ref="N651:O655"/>
    <mergeCell ref="N669:O673"/>
    <mergeCell ref="N657:O661"/>
    <mergeCell ref="N353:O357"/>
    <mergeCell ref="N359:O363"/>
    <mergeCell ref="N455:O459"/>
    <mergeCell ref="N461:O465"/>
    <mergeCell ref="N467:O471"/>
    <mergeCell ref="N449:O453"/>
    <mergeCell ref="N491:O495"/>
    <mergeCell ref="N383:P387"/>
    <mergeCell ref="N821:O825"/>
    <mergeCell ref="N827:O831"/>
    <mergeCell ref="P717:P721"/>
  </mergeCells>
  <pageMargins left="0.19685039370078741" right="0.11811023622047245" top="0.6692913385826772" bottom="0.27559055118110237" header="0.31496062992125984" footer="0.31496062992125984"/>
  <pageSetup paperSize="9" scale="69" fitToWidth="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3"/>
  <sheetViews>
    <sheetView topLeftCell="A195" zoomScale="89" zoomScaleNormal="89" workbookViewId="0">
      <selection activeCell="B199" sqref="B199:L243"/>
    </sheetView>
  </sheetViews>
  <sheetFormatPr defaultRowHeight="14.4" x14ac:dyDescent="0.3"/>
  <cols>
    <col min="1" max="1" width="6.44140625" customWidth="1"/>
    <col min="2" max="2" width="14.109375" customWidth="1"/>
    <col min="3" max="3" width="12.5546875" customWidth="1"/>
    <col min="4" max="4" width="14.33203125" customWidth="1"/>
    <col min="6" max="6" width="12.109375" customWidth="1"/>
    <col min="7" max="7" width="11.6640625" customWidth="1"/>
    <col min="8" max="8" width="12.33203125" customWidth="1"/>
    <col min="9" max="9" width="23.33203125" customWidth="1"/>
    <col min="10" max="10" width="12" customWidth="1"/>
    <col min="11" max="11" width="24.109375" customWidth="1"/>
    <col min="12" max="12" width="12.88671875" customWidth="1"/>
  </cols>
  <sheetData>
    <row r="1" spans="1:12" ht="25.2" thickBot="1" x14ac:dyDescent="0.35">
      <c r="A1" s="329" t="s">
        <v>87</v>
      </c>
      <c r="B1" s="329"/>
      <c r="C1" s="329"/>
      <c r="D1" s="329"/>
      <c r="E1" s="329"/>
      <c r="F1" s="329"/>
      <c r="G1" s="329"/>
      <c r="H1" s="329"/>
      <c r="I1" s="329"/>
      <c r="J1" s="329"/>
      <c r="K1" s="330"/>
    </row>
    <row r="2" spans="1:12" ht="16.2" thickBot="1" x14ac:dyDescent="0.35">
      <c r="A2" s="331" t="s">
        <v>88</v>
      </c>
      <c r="B2" s="333" t="s">
        <v>89</v>
      </c>
      <c r="C2" s="334"/>
      <c r="D2" s="335" t="s">
        <v>90</v>
      </c>
      <c r="E2" s="336"/>
      <c r="F2" s="337" t="s">
        <v>91</v>
      </c>
      <c r="G2" s="331" t="s">
        <v>92</v>
      </c>
      <c r="H2" s="331" t="s">
        <v>93</v>
      </c>
      <c r="I2" s="339" t="s">
        <v>94</v>
      </c>
      <c r="J2" s="331" t="s">
        <v>95</v>
      </c>
      <c r="K2" s="331" t="s">
        <v>96</v>
      </c>
      <c r="L2" s="342" t="s">
        <v>97</v>
      </c>
    </row>
    <row r="3" spans="1:12" ht="63" thickBot="1" x14ac:dyDescent="0.35">
      <c r="A3" s="332"/>
      <c r="B3" s="39" t="s">
        <v>98</v>
      </c>
      <c r="C3" s="39" t="s">
        <v>99</v>
      </c>
      <c r="D3" s="40" t="s">
        <v>100</v>
      </c>
      <c r="E3" s="41" t="s">
        <v>101</v>
      </c>
      <c r="F3" s="338"/>
      <c r="G3" s="332"/>
      <c r="H3" s="332"/>
      <c r="I3" s="340"/>
      <c r="J3" s="332"/>
      <c r="K3" s="341"/>
      <c r="L3" s="343"/>
    </row>
    <row r="4" spans="1:12" ht="18" x14ac:dyDescent="0.3">
      <c r="A4" s="344" t="s">
        <v>102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5"/>
    </row>
    <row r="5" spans="1:12" ht="140.4" x14ac:dyDescent="0.3">
      <c r="A5" s="42">
        <v>1</v>
      </c>
      <c r="B5" s="43">
        <v>43101</v>
      </c>
      <c r="C5" s="43">
        <v>44926</v>
      </c>
      <c r="D5" s="44" t="s">
        <v>103</v>
      </c>
      <c r="E5" s="44" t="s">
        <v>104</v>
      </c>
      <c r="F5" s="44" t="s">
        <v>105</v>
      </c>
      <c r="G5" s="44" t="s">
        <v>106</v>
      </c>
      <c r="H5" s="44" t="s">
        <v>107</v>
      </c>
      <c r="I5" s="45" t="s">
        <v>108</v>
      </c>
      <c r="J5" s="44">
        <f>52.5+57.37</f>
        <v>109.87</v>
      </c>
      <c r="K5" s="44" t="s">
        <v>109</v>
      </c>
      <c r="L5" s="46">
        <f>(14.5*52.5*1.2*(1+1.2+0.9)*0.1)+(14.5*57.37*1.2*(1+0.1+0.9)*0.1)</f>
        <v>482.83260000000001</v>
      </c>
    </row>
    <row r="6" spans="1:12" ht="140.4" x14ac:dyDescent="0.3">
      <c r="A6" s="44">
        <f t="shared" ref="A6:A11" si="0">A5+1</f>
        <v>2</v>
      </c>
      <c r="B6" s="43">
        <v>43101</v>
      </c>
      <c r="C6" s="43">
        <v>46752</v>
      </c>
      <c r="D6" s="44" t="s">
        <v>110</v>
      </c>
      <c r="E6" s="44" t="s">
        <v>111</v>
      </c>
      <c r="F6" s="44" t="s">
        <v>112</v>
      </c>
      <c r="G6" s="44" t="s">
        <v>113</v>
      </c>
      <c r="H6" s="44" t="s">
        <v>114</v>
      </c>
      <c r="I6" s="47" t="s">
        <v>115</v>
      </c>
      <c r="J6" s="44">
        <v>192.6</v>
      </c>
      <c r="K6" s="44" t="s">
        <v>116</v>
      </c>
      <c r="L6" s="46">
        <f>14.5*J6*1.2*(1+1.2+0.9)*1.2</f>
        <v>12466.612799999999</v>
      </c>
    </row>
    <row r="7" spans="1:12" ht="93.6" x14ac:dyDescent="0.3">
      <c r="A7" s="44">
        <f t="shared" si="0"/>
        <v>3</v>
      </c>
      <c r="B7" s="43">
        <v>43101</v>
      </c>
      <c r="C7" s="43">
        <v>44926</v>
      </c>
      <c r="D7" s="44" t="s">
        <v>117</v>
      </c>
      <c r="E7" s="44" t="s">
        <v>104</v>
      </c>
      <c r="F7" s="44" t="s">
        <v>118</v>
      </c>
      <c r="G7" s="44" t="s">
        <v>119</v>
      </c>
      <c r="H7" s="44" t="s">
        <v>120</v>
      </c>
      <c r="I7" s="45" t="s">
        <v>121</v>
      </c>
      <c r="J7" s="44">
        <v>71.8</v>
      </c>
      <c r="K7" s="44" t="s">
        <v>116</v>
      </c>
      <c r="L7" s="46">
        <f>14.5*J7*1*(1+0.5+0.9)*0.1</f>
        <v>249.864</v>
      </c>
    </row>
    <row r="8" spans="1:12" ht="78" x14ac:dyDescent="0.3">
      <c r="A8" s="44">
        <f t="shared" si="0"/>
        <v>4</v>
      </c>
      <c r="B8" s="43">
        <v>43101</v>
      </c>
      <c r="C8" s="43">
        <v>44926</v>
      </c>
      <c r="D8" s="44" t="s">
        <v>122</v>
      </c>
      <c r="E8" s="44" t="s">
        <v>123</v>
      </c>
      <c r="F8" s="44" t="s">
        <v>124</v>
      </c>
      <c r="G8" s="44" t="s">
        <v>119</v>
      </c>
      <c r="H8" s="44" t="s">
        <v>120</v>
      </c>
      <c r="I8" s="45" t="s">
        <v>125</v>
      </c>
      <c r="J8" s="44">
        <v>11.9</v>
      </c>
      <c r="K8" s="44" t="s">
        <v>116</v>
      </c>
      <c r="L8" s="46">
        <f>14.5*J8*1*(1+0.5+0.9)*1.2</f>
        <v>496.94399999999996</v>
      </c>
    </row>
    <row r="9" spans="1:12" ht="140.4" x14ac:dyDescent="0.3">
      <c r="A9" s="44">
        <f t="shared" si="0"/>
        <v>5</v>
      </c>
      <c r="B9" s="43">
        <v>43066</v>
      </c>
      <c r="C9" s="43">
        <v>44891</v>
      </c>
      <c r="D9" s="44" t="s">
        <v>126</v>
      </c>
      <c r="E9" s="44" t="s">
        <v>127</v>
      </c>
      <c r="F9" s="44" t="s">
        <v>128</v>
      </c>
      <c r="G9" s="44" t="s">
        <v>129</v>
      </c>
      <c r="H9" s="44" t="s">
        <v>130</v>
      </c>
      <c r="I9" s="45" t="s">
        <v>131</v>
      </c>
      <c r="J9" s="44">
        <v>49.8</v>
      </c>
      <c r="K9" s="44" t="s">
        <v>132</v>
      </c>
      <c r="L9" s="46">
        <f>14.5*J9*1.2*(1+1.2+0.5)*0.1</f>
        <v>233.96039999999999</v>
      </c>
    </row>
    <row r="10" spans="1:12" ht="78" x14ac:dyDescent="0.3">
      <c r="A10" s="44">
        <f t="shared" si="0"/>
        <v>6</v>
      </c>
      <c r="B10" s="43">
        <v>39965</v>
      </c>
      <c r="C10" s="43">
        <v>49096</v>
      </c>
      <c r="D10" s="44" t="s">
        <v>133</v>
      </c>
      <c r="E10" s="44"/>
      <c r="F10" s="44" t="s">
        <v>134</v>
      </c>
      <c r="G10" s="44" t="s">
        <v>135</v>
      </c>
      <c r="H10" s="44" t="s">
        <v>136</v>
      </c>
      <c r="I10" s="45" t="s">
        <v>137</v>
      </c>
      <c r="J10" s="44">
        <v>35.1</v>
      </c>
      <c r="K10" s="44" t="s">
        <v>132</v>
      </c>
      <c r="L10" s="46">
        <f>14.5*J10*1.2*(1+1.2+0.5)*0.1</f>
        <v>164.89980000000003</v>
      </c>
    </row>
    <row r="11" spans="1:12" ht="78" x14ac:dyDescent="0.3">
      <c r="A11" s="346">
        <f t="shared" si="0"/>
        <v>7</v>
      </c>
      <c r="B11" s="347">
        <v>39995</v>
      </c>
      <c r="C11" s="347" t="s">
        <v>138</v>
      </c>
      <c r="D11" s="346" t="s">
        <v>139</v>
      </c>
      <c r="E11" s="348" t="s">
        <v>140</v>
      </c>
      <c r="F11" s="346" t="s">
        <v>141</v>
      </c>
      <c r="G11" s="346" t="s">
        <v>142</v>
      </c>
      <c r="H11" s="48" t="s">
        <v>143</v>
      </c>
      <c r="I11" s="49" t="s">
        <v>144</v>
      </c>
      <c r="J11" s="48">
        <v>25.1</v>
      </c>
      <c r="K11" s="346" t="s">
        <v>145</v>
      </c>
      <c r="L11" s="46">
        <f>14.5*J11*1*(1+0.1+0.3)*0.6</f>
        <v>305.71800000000002</v>
      </c>
    </row>
    <row r="12" spans="1:12" ht="78" x14ac:dyDescent="0.3">
      <c r="A12" s="346"/>
      <c r="B12" s="347"/>
      <c r="C12" s="347"/>
      <c r="D12" s="346"/>
      <c r="E12" s="278"/>
      <c r="F12" s="346"/>
      <c r="G12" s="346"/>
      <c r="H12" s="48" t="s">
        <v>146</v>
      </c>
      <c r="I12" s="49" t="s">
        <v>144</v>
      </c>
      <c r="J12" s="48">
        <v>14.3</v>
      </c>
      <c r="K12" s="346"/>
      <c r="L12" s="46">
        <f>14.5*J12*1*(1+0.1+0.3)*0.6</f>
        <v>174.17400000000004</v>
      </c>
    </row>
    <row r="13" spans="1:12" ht="78" x14ac:dyDescent="0.3">
      <c r="A13" s="346"/>
      <c r="B13" s="347"/>
      <c r="C13" s="347"/>
      <c r="D13" s="346"/>
      <c r="E13" s="349"/>
      <c r="F13" s="346"/>
      <c r="G13" s="346"/>
      <c r="H13" s="48" t="s">
        <v>147</v>
      </c>
      <c r="I13" s="49" t="s">
        <v>144</v>
      </c>
      <c r="J13" s="48">
        <v>12</v>
      </c>
      <c r="K13" s="346"/>
      <c r="L13" s="46">
        <f>14.5*J13*1.2*(1+0.1+0.3)*0.6</f>
        <v>175.392</v>
      </c>
    </row>
    <row r="14" spans="1:12" ht="78" x14ac:dyDescent="0.3">
      <c r="A14" s="48">
        <f>A11+1</f>
        <v>8</v>
      </c>
      <c r="B14" s="50">
        <v>40506</v>
      </c>
      <c r="C14" s="48" t="s">
        <v>138</v>
      </c>
      <c r="D14" s="48" t="s">
        <v>148</v>
      </c>
      <c r="E14" s="48" t="s">
        <v>149</v>
      </c>
      <c r="F14" s="48" t="s">
        <v>141</v>
      </c>
      <c r="G14" s="48" t="s">
        <v>150</v>
      </c>
      <c r="H14" s="48" t="s">
        <v>151</v>
      </c>
      <c r="I14" s="49" t="s">
        <v>152</v>
      </c>
      <c r="J14" s="48">
        <v>12</v>
      </c>
      <c r="K14" s="48" t="s">
        <v>153</v>
      </c>
      <c r="L14" s="46">
        <f>14.5*J14*1.1*(1+0.1+0.3)*0.6</f>
        <v>160.77600000000001</v>
      </c>
    </row>
    <row r="15" spans="1:12" ht="124.8" x14ac:dyDescent="0.3">
      <c r="A15" s="44">
        <f>A14+1</f>
        <v>9</v>
      </c>
      <c r="B15" s="51">
        <v>43101</v>
      </c>
      <c r="C15" s="51">
        <v>44926</v>
      </c>
      <c r="D15" s="44" t="s">
        <v>154</v>
      </c>
      <c r="E15" s="44" t="s">
        <v>155</v>
      </c>
      <c r="F15" s="44" t="s">
        <v>156</v>
      </c>
      <c r="G15" s="44" t="s">
        <v>129</v>
      </c>
      <c r="H15" s="44" t="s">
        <v>157</v>
      </c>
      <c r="I15" s="45" t="s">
        <v>158</v>
      </c>
      <c r="J15" s="44">
        <v>92</v>
      </c>
      <c r="K15" s="44" t="s">
        <v>159</v>
      </c>
      <c r="L15" s="46">
        <f>14.5*J15*1.2*(1+0.1+1.1)*0.1</f>
        <v>352.17600000000004</v>
      </c>
    </row>
    <row r="16" spans="1:12" ht="93.6" x14ac:dyDescent="0.3">
      <c r="A16" s="52">
        <f>A15+1</f>
        <v>10</v>
      </c>
      <c r="B16" s="53">
        <v>42983</v>
      </c>
      <c r="C16" s="53">
        <v>44808</v>
      </c>
      <c r="D16" s="52" t="s">
        <v>160</v>
      </c>
      <c r="E16" s="52" t="s">
        <v>104</v>
      </c>
      <c r="F16" s="52" t="s">
        <v>161</v>
      </c>
      <c r="G16" s="52" t="s">
        <v>162</v>
      </c>
      <c r="H16" s="52" t="s">
        <v>163</v>
      </c>
      <c r="I16" s="54" t="s">
        <v>164</v>
      </c>
      <c r="J16" s="52">
        <v>45.1</v>
      </c>
      <c r="K16" s="52" t="s">
        <v>165</v>
      </c>
      <c r="L16" s="46">
        <f>14.5*J16*1.1*(1+0.1+0.5)*0.8</f>
        <v>920.76160000000027</v>
      </c>
    </row>
    <row r="17" spans="1:12" ht="78" x14ac:dyDescent="0.3">
      <c r="A17" s="350">
        <f>A16+1</f>
        <v>11</v>
      </c>
      <c r="B17" s="360">
        <v>43170</v>
      </c>
      <c r="C17" s="360">
        <v>44995</v>
      </c>
      <c r="D17" s="361" t="s">
        <v>166</v>
      </c>
      <c r="E17" s="361" t="s">
        <v>167</v>
      </c>
      <c r="F17" s="350" t="s">
        <v>168</v>
      </c>
      <c r="G17" s="350" t="s">
        <v>169</v>
      </c>
      <c r="H17" s="55" t="s">
        <v>170</v>
      </c>
      <c r="I17" s="56" t="s">
        <v>171</v>
      </c>
      <c r="J17" s="55">
        <v>43.2</v>
      </c>
      <c r="K17" s="55" t="s">
        <v>172</v>
      </c>
      <c r="L17" s="46">
        <f>14.5*J17*1*(1+0.5+0.9)*1.2</f>
        <v>1804.0320000000002</v>
      </c>
    </row>
    <row r="18" spans="1:12" ht="78" x14ac:dyDescent="0.3">
      <c r="A18" s="351"/>
      <c r="B18" s="351"/>
      <c r="C18" s="351"/>
      <c r="D18" s="362"/>
      <c r="E18" s="288"/>
      <c r="F18" s="351"/>
      <c r="G18" s="351"/>
      <c r="H18" s="55" t="s">
        <v>173</v>
      </c>
      <c r="I18" s="56" t="s">
        <v>174</v>
      </c>
      <c r="J18" s="55">
        <v>137.19999999999999</v>
      </c>
      <c r="K18" s="55" t="s">
        <v>172</v>
      </c>
      <c r="L18" s="46">
        <f>14.5*J18*1*(1+1.2+0.9)*1.2</f>
        <v>7400.5679999999993</v>
      </c>
    </row>
    <row r="19" spans="1:12" ht="78" x14ac:dyDescent="0.3">
      <c r="A19" s="278"/>
      <c r="B19" s="278"/>
      <c r="C19" s="278"/>
      <c r="D19" s="288"/>
      <c r="E19" s="288"/>
      <c r="F19" s="278"/>
      <c r="G19" s="278"/>
      <c r="H19" s="55" t="s">
        <v>175</v>
      </c>
      <c r="I19" s="56" t="s">
        <v>176</v>
      </c>
      <c r="J19" s="55">
        <v>68.5</v>
      </c>
      <c r="K19" s="55" t="s">
        <v>172</v>
      </c>
      <c r="L19" s="46">
        <f>14.5*J19*1.2*(1+1.2+0.9)*1.2</f>
        <v>4433.8679999999995</v>
      </c>
    </row>
    <row r="20" spans="1:12" ht="98.25" customHeight="1" x14ac:dyDescent="0.3">
      <c r="A20" s="278"/>
      <c r="B20" s="278"/>
      <c r="C20" s="278"/>
      <c r="D20" s="288"/>
      <c r="E20" s="288"/>
      <c r="F20" s="278"/>
      <c r="G20" s="278"/>
      <c r="H20" s="55" t="s">
        <v>177</v>
      </c>
      <c r="I20" s="56" t="s">
        <v>178</v>
      </c>
      <c r="J20" s="55">
        <v>111.8</v>
      </c>
      <c r="K20" s="55" t="s">
        <v>172</v>
      </c>
      <c r="L20" s="46">
        <f>14.5*J20*1*(1+1.2+0.9)*0.9</f>
        <v>4522.8689999999997</v>
      </c>
    </row>
    <row r="21" spans="1:12" ht="89.25" customHeight="1" x14ac:dyDescent="0.3">
      <c r="A21" s="278"/>
      <c r="B21" s="278"/>
      <c r="C21" s="278"/>
      <c r="D21" s="288"/>
      <c r="E21" s="288"/>
      <c r="F21" s="278"/>
      <c r="G21" s="278"/>
      <c r="H21" s="55" t="s">
        <v>179</v>
      </c>
      <c r="I21" s="56" t="s">
        <v>180</v>
      </c>
      <c r="J21" s="55">
        <v>63.5</v>
      </c>
      <c r="K21" s="55" t="s">
        <v>172</v>
      </c>
      <c r="L21" s="46">
        <f>14.5*J21*1.1*(1+0.1+0.9)*1.2</f>
        <v>2430.7800000000002</v>
      </c>
    </row>
    <row r="22" spans="1:12" ht="101.25" customHeight="1" x14ac:dyDescent="0.3">
      <c r="A22" s="279"/>
      <c r="B22" s="279"/>
      <c r="C22" s="279"/>
      <c r="D22" s="289"/>
      <c r="E22" s="289"/>
      <c r="F22" s="279"/>
      <c r="G22" s="279"/>
      <c r="H22" s="55" t="s">
        <v>181</v>
      </c>
      <c r="I22" s="56" t="s">
        <v>182</v>
      </c>
      <c r="J22" s="55">
        <v>85.6</v>
      </c>
      <c r="K22" s="55" t="s">
        <v>172</v>
      </c>
      <c r="L22" s="46">
        <f>14.5*J22*1.1*(1+1.2+0.9)*1.2</f>
        <v>5078.9903999999997</v>
      </c>
    </row>
    <row r="23" spans="1:12" ht="78" x14ac:dyDescent="0.3">
      <c r="A23" s="57">
        <f>A17+1</f>
        <v>12</v>
      </c>
      <c r="B23" s="50">
        <v>43077</v>
      </c>
      <c r="C23" s="50">
        <v>44902</v>
      </c>
      <c r="D23" s="48" t="s">
        <v>183</v>
      </c>
      <c r="E23" s="48" t="s">
        <v>127</v>
      </c>
      <c r="F23" s="48" t="s">
        <v>184</v>
      </c>
      <c r="G23" s="48" t="s">
        <v>185</v>
      </c>
      <c r="H23" s="48" t="s">
        <v>186</v>
      </c>
      <c r="I23" s="49" t="s">
        <v>187</v>
      </c>
      <c r="J23" s="48">
        <v>100.6</v>
      </c>
      <c r="K23" s="48" t="s">
        <v>132</v>
      </c>
      <c r="L23" s="46">
        <f>14.5*J23*1.2*(1+1.2+0.9)*1.2</f>
        <v>6511.6367999999993</v>
      </c>
    </row>
    <row r="24" spans="1:12" ht="93.6" x14ac:dyDescent="0.3">
      <c r="A24" s="48">
        <f>A23+1</f>
        <v>13</v>
      </c>
      <c r="B24" s="50">
        <v>43114</v>
      </c>
      <c r="C24" s="50">
        <v>44939</v>
      </c>
      <c r="D24" s="48" t="s">
        <v>188</v>
      </c>
      <c r="E24" s="48" t="s">
        <v>189</v>
      </c>
      <c r="F24" s="48" t="s">
        <v>190</v>
      </c>
      <c r="G24" s="48" t="s">
        <v>185</v>
      </c>
      <c r="H24" s="48" t="s">
        <v>186</v>
      </c>
      <c r="I24" s="49" t="s">
        <v>191</v>
      </c>
      <c r="J24" s="48">
        <v>37.1</v>
      </c>
      <c r="K24" s="48" t="s">
        <v>132</v>
      </c>
      <c r="L24" s="46">
        <f>14.5*J24*1.2*(1+1.2+0.9)*1.2</f>
        <v>2401.4088000000002</v>
      </c>
    </row>
    <row r="25" spans="1:12" ht="78" x14ac:dyDescent="0.3">
      <c r="A25" s="352">
        <f>A24+1</f>
        <v>14</v>
      </c>
      <c r="B25" s="354">
        <v>44407</v>
      </c>
      <c r="C25" s="354">
        <v>46232</v>
      </c>
      <c r="D25" s="357" t="s">
        <v>192</v>
      </c>
      <c r="E25" s="352" t="s">
        <v>193</v>
      </c>
      <c r="F25" s="352" t="s">
        <v>194</v>
      </c>
      <c r="G25" s="352" t="s">
        <v>185</v>
      </c>
      <c r="H25" s="58" t="s">
        <v>195</v>
      </c>
      <c r="I25" s="59" t="s">
        <v>196</v>
      </c>
      <c r="J25" s="60">
        <v>87</v>
      </c>
      <c r="K25" s="58" t="s">
        <v>197</v>
      </c>
      <c r="L25" s="46">
        <f>14.5*J25*1.2*(1+0.1+0.9)*0.8</f>
        <v>2422.08</v>
      </c>
    </row>
    <row r="26" spans="1:12" ht="78" x14ac:dyDescent="0.3">
      <c r="A26" s="353"/>
      <c r="B26" s="353"/>
      <c r="C26" s="353"/>
      <c r="D26" s="353"/>
      <c r="E26" s="358"/>
      <c r="F26" s="353"/>
      <c r="G26" s="353"/>
      <c r="H26" s="58" t="s">
        <v>198</v>
      </c>
      <c r="I26" s="59" t="s">
        <v>199</v>
      </c>
      <c r="J26" s="60">
        <v>51.8</v>
      </c>
      <c r="K26" s="58" t="s">
        <v>197</v>
      </c>
      <c r="L26" s="46">
        <f>14.5*J26*1*(1+0.1+0.9)*0.8</f>
        <v>1201.76</v>
      </c>
    </row>
    <row r="27" spans="1:12" ht="78" x14ac:dyDescent="0.3">
      <c r="A27" s="353"/>
      <c r="B27" s="353"/>
      <c r="C27" s="353"/>
      <c r="D27" s="353"/>
      <c r="E27" s="358"/>
      <c r="F27" s="353"/>
      <c r="G27" s="353"/>
      <c r="H27" s="58" t="s">
        <v>200</v>
      </c>
      <c r="I27" s="59" t="s">
        <v>201</v>
      </c>
      <c r="J27" s="60">
        <v>37.200000000000003</v>
      </c>
      <c r="K27" s="58" t="s">
        <v>197</v>
      </c>
      <c r="L27" s="46">
        <f>14.5*J27*1.1*(1+0.1+0.9)*0.8</f>
        <v>949.34400000000028</v>
      </c>
    </row>
    <row r="28" spans="1:12" ht="78" x14ac:dyDescent="0.3">
      <c r="A28" s="278"/>
      <c r="B28" s="355"/>
      <c r="C28" s="355"/>
      <c r="D28" s="355"/>
      <c r="E28" s="358"/>
      <c r="F28" s="278"/>
      <c r="G28" s="278"/>
      <c r="H28" s="58" t="s">
        <v>202</v>
      </c>
      <c r="I28" s="59" t="s">
        <v>203</v>
      </c>
      <c r="J28" s="60">
        <v>17.3</v>
      </c>
      <c r="K28" s="58" t="s">
        <v>197</v>
      </c>
      <c r="L28" s="46">
        <f>14.5*J28*1.2*(1+0.1+0.9)*0.8</f>
        <v>481.63200000000006</v>
      </c>
    </row>
    <row r="29" spans="1:12" ht="62.4" x14ac:dyDescent="0.3">
      <c r="A29" s="278"/>
      <c r="B29" s="355"/>
      <c r="C29" s="355"/>
      <c r="D29" s="355"/>
      <c r="E29" s="358"/>
      <c r="F29" s="278"/>
      <c r="G29" s="278"/>
      <c r="H29" s="58" t="s">
        <v>204</v>
      </c>
      <c r="I29" s="59" t="s">
        <v>205</v>
      </c>
      <c r="J29" s="60">
        <v>7.56</v>
      </c>
      <c r="K29" s="58" t="s">
        <v>197</v>
      </c>
      <c r="L29" s="46">
        <f>14.5*J29*1.2*(1+0.1+0.9)*0.8</f>
        <v>210.47039999999998</v>
      </c>
    </row>
    <row r="30" spans="1:12" ht="78" x14ac:dyDescent="0.3">
      <c r="A30" s="278"/>
      <c r="B30" s="355"/>
      <c r="C30" s="355"/>
      <c r="D30" s="355"/>
      <c r="E30" s="358"/>
      <c r="F30" s="278"/>
      <c r="G30" s="278"/>
      <c r="H30" s="58" t="s">
        <v>206</v>
      </c>
      <c r="I30" s="59" t="s">
        <v>207</v>
      </c>
      <c r="J30" s="60">
        <v>54.7</v>
      </c>
      <c r="K30" s="58" t="s">
        <v>197</v>
      </c>
      <c r="L30" s="46">
        <f>14.5*J30*1*(1+0.1+0.9)*0.8</f>
        <v>1269.0400000000002</v>
      </c>
    </row>
    <row r="31" spans="1:12" ht="78" x14ac:dyDescent="0.3">
      <c r="A31" s="278"/>
      <c r="B31" s="355"/>
      <c r="C31" s="355"/>
      <c r="D31" s="355"/>
      <c r="E31" s="358"/>
      <c r="F31" s="278"/>
      <c r="G31" s="278"/>
      <c r="H31" s="58" t="s">
        <v>206</v>
      </c>
      <c r="I31" s="59" t="s">
        <v>208</v>
      </c>
      <c r="J31" s="60">
        <v>22.6</v>
      </c>
      <c r="K31" s="58" t="s">
        <v>197</v>
      </c>
      <c r="L31" s="46">
        <f>14.5*J31*1*(1+1.2+0.9)*0.8</f>
        <v>812.69600000000014</v>
      </c>
    </row>
    <row r="32" spans="1:12" ht="78" x14ac:dyDescent="0.3">
      <c r="A32" s="278"/>
      <c r="B32" s="355"/>
      <c r="C32" s="355"/>
      <c r="D32" s="355"/>
      <c r="E32" s="358"/>
      <c r="F32" s="278"/>
      <c r="G32" s="278"/>
      <c r="H32" s="58" t="s">
        <v>209</v>
      </c>
      <c r="I32" s="59" t="s">
        <v>210</v>
      </c>
      <c r="J32" s="60">
        <v>15.2</v>
      </c>
      <c r="K32" s="58" t="s">
        <v>197</v>
      </c>
      <c r="L32" s="46">
        <f>14.5*J32*1*(1+0.1+0.9)*0.8</f>
        <v>352.64</v>
      </c>
    </row>
    <row r="33" spans="1:12" ht="62.4" x14ac:dyDescent="0.3">
      <c r="A33" s="278"/>
      <c r="B33" s="355"/>
      <c r="C33" s="355"/>
      <c r="D33" s="355"/>
      <c r="E33" s="358"/>
      <c r="F33" s="278"/>
      <c r="G33" s="278"/>
      <c r="H33" s="58" t="s">
        <v>211</v>
      </c>
      <c r="I33" s="59" t="s">
        <v>212</v>
      </c>
      <c r="J33" s="60">
        <v>15.8</v>
      </c>
      <c r="K33" s="58" t="s">
        <v>197</v>
      </c>
      <c r="L33" s="46">
        <f>14.5*J33*1*(1+0.1+0.9)*0.8</f>
        <v>366.56000000000006</v>
      </c>
    </row>
    <row r="34" spans="1:12" ht="109.2" x14ac:dyDescent="0.3">
      <c r="A34" s="279"/>
      <c r="B34" s="356"/>
      <c r="C34" s="356"/>
      <c r="D34" s="356"/>
      <c r="E34" s="359"/>
      <c r="F34" s="279"/>
      <c r="G34" s="279"/>
      <c r="H34" s="58" t="s">
        <v>213</v>
      </c>
      <c r="I34" s="59" t="s">
        <v>214</v>
      </c>
      <c r="J34" s="60">
        <v>20.3</v>
      </c>
      <c r="K34" s="58" t="s">
        <v>197</v>
      </c>
      <c r="L34" s="46">
        <f>14.5*J34*1*(1+0.1+0.9)*0.8</f>
        <v>470.96000000000004</v>
      </c>
    </row>
    <row r="35" spans="1:12" ht="78" x14ac:dyDescent="0.3">
      <c r="A35" s="363">
        <f>A25+1</f>
        <v>15</v>
      </c>
      <c r="B35" s="369">
        <v>44407</v>
      </c>
      <c r="C35" s="369">
        <v>46232</v>
      </c>
      <c r="D35" s="363" t="s">
        <v>215</v>
      </c>
      <c r="E35" s="364" t="s">
        <v>193</v>
      </c>
      <c r="F35" s="363" t="s">
        <v>216</v>
      </c>
      <c r="G35" s="363" t="s">
        <v>217</v>
      </c>
      <c r="H35" s="58" t="s">
        <v>218</v>
      </c>
      <c r="I35" s="59" t="s">
        <v>219</v>
      </c>
      <c r="J35" s="60">
        <v>103.6</v>
      </c>
      <c r="K35" s="58" t="s">
        <v>197</v>
      </c>
      <c r="L35" s="61">
        <f>14.5*J35*1.2*(1+0.1+0.9)*0.8</f>
        <v>2884.2239999999997</v>
      </c>
    </row>
    <row r="36" spans="1:12" ht="78" x14ac:dyDescent="0.3">
      <c r="A36" s="363"/>
      <c r="B36" s="364"/>
      <c r="C36" s="364"/>
      <c r="D36" s="364"/>
      <c r="E36" s="364"/>
      <c r="F36" s="364"/>
      <c r="G36" s="364"/>
      <c r="H36" s="58" t="s">
        <v>220</v>
      </c>
      <c r="I36" s="59" t="s">
        <v>221</v>
      </c>
      <c r="J36" s="60">
        <v>75</v>
      </c>
      <c r="K36" s="58" t="s">
        <v>197</v>
      </c>
      <c r="L36" s="61">
        <f>14.5*J36*1.2*(1+0.1+0.9)*0.8</f>
        <v>2088</v>
      </c>
    </row>
    <row r="37" spans="1:12" ht="62.4" x14ac:dyDescent="0.3">
      <c r="A37" s="363"/>
      <c r="B37" s="364"/>
      <c r="C37" s="364"/>
      <c r="D37" s="364"/>
      <c r="E37" s="364"/>
      <c r="F37" s="364"/>
      <c r="G37" s="364"/>
      <c r="H37" s="58" t="s">
        <v>222</v>
      </c>
      <c r="I37" s="59" t="s">
        <v>223</v>
      </c>
      <c r="J37" s="60">
        <v>47.3</v>
      </c>
      <c r="K37" s="58" t="s">
        <v>197</v>
      </c>
      <c r="L37" s="61">
        <f>14.5*J37*1.1*(1+0.1+0.9)*0.8</f>
        <v>1207.096</v>
      </c>
    </row>
    <row r="38" spans="1:12" ht="78" x14ac:dyDescent="0.3">
      <c r="A38" s="363"/>
      <c r="B38" s="364"/>
      <c r="C38" s="364"/>
      <c r="D38" s="364"/>
      <c r="E38" s="364"/>
      <c r="F38" s="364"/>
      <c r="G38" s="364"/>
      <c r="H38" s="58" t="s">
        <v>224</v>
      </c>
      <c r="I38" s="59" t="s">
        <v>225</v>
      </c>
      <c r="J38" s="60">
        <v>14.6</v>
      </c>
      <c r="K38" s="62" t="s">
        <v>197</v>
      </c>
      <c r="L38" s="61">
        <f>14.5*J38*1.2*(1+0.1+0.9)*0.8</f>
        <v>406.46399999999994</v>
      </c>
    </row>
    <row r="39" spans="1:12" ht="78" x14ac:dyDescent="0.3">
      <c r="A39" s="363"/>
      <c r="B39" s="364"/>
      <c r="C39" s="364"/>
      <c r="D39" s="364"/>
      <c r="E39" s="364"/>
      <c r="F39" s="364"/>
      <c r="G39" s="364"/>
      <c r="H39" s="58" t="s">
        <v>226</v>
      </c>
      <c r="I39" s="59" t="s">
        <v>227</v>
      </c>
      <c r="J39" s="60">
        <v>32</v>
      </c>
      <c r="K39" s="62" t="s">
        <v>197</v>
      </c>
      <c r="L39" s="61">
        <f>14.5*J39*1*(1+0.1+0.9)*0.8</f>
        <v>742.40000000000009</v>
      </c>
    </row>
    <row r="40" spans="1:12" ht="78" x14ac:dyDescent="0.3">
      <c r="A40" s="363"/>
      <c r="B40" s="364"/>
      <c r="C40" s="364"/>
      <c r="D40" s="364"/>
      <c r="E40" s="364"/>
      <c r="F40" s="364"/>
      <c r="G40" s="364"/>
      <c r="H40" s="58" t="s">
        <v>228</v>
      </c>
      <c r="I40" s="59" t="s">
        <v>229</v>
      </c>
      <c r="J40" s="60">
        <v>17.600000000000001</v>
      </c>
      <c r="K40" s="62" t="s">
        <v>197</v>
      </c>
      <c r="L40" s="61">
        <f>14.5*J40*1*(1+0.1+0.9)*0.8</f>
        <v>408.32000000000005</v>
      </c>
    </row>
    <row r="41" spans="1:12" ht="78" x14ac:dyDescent="0.3">
      <c r="A41" s="363"/>
      <c r="B41" s="364"/>
      <c r="C41" s="364"/>
      <c r="D41" s="364"/>
      <c r="E41" s="364"/>
      <c r="F41" s="364"/>
      <c r="G41" s="364"/>
      <c r="H41" s="58" t="s">
        <v>230</v>
      </c>
      <c r="I41" s="59" t="s">
        <v>231</v>
      </c>
      <c r="J41" s="60">
        <v>64.7</v>
      </c>
      <c r="K41" s="62" t="s">
        <v>197</v>
      </c>
      <c r="L41" s="61">
        <f>14.5*J41*1.1*(1+0.1+0.9)*0.8</f>
        <v>1651.1440000000002</v>
      </c>
    </row>
    <row r="42" spans="1:12" ht="78" x14ac:dyDescent="0.3">
      <c r="A42" s="363"/>
      <c r="B42" s="364"/>
      <c r="C42" s="364"/>
      <c r="D42" s="364"/>
      <c r="E42" s="364"/>
      <c r="F42" s="364"/>
      <c r="G42" s="364"/>
      <c r="H42" s="58" t="s">
        <v>232</v>
      </c>
      <c r="I42" s="59" t="s">
        <v>233</v>
      </c>
      <c r="J42" s="60">
        <v>89.2</v>
      </c>
      <c r="K42" s="62" t="s">
        <v>197</v>
      </c>
      <c r="L42" s="61">
        <f>14.5*J42*1.1*(1+0.1+0.9)*0.8</f>
        <v>2276.3840000000005</v>
      </c>
    </row>
    <row r="43" spans="1:12" ht="93.6" x14ac:dyDescent="0.3">
      <c r="A43" s="363"/>
      <c r="B43" s="364"/>
      <c r="C43" s="364"/>
      <c r="D43" s="364"/>
      <c r="E43" s="364"/>
      <c r="F43" s="364"/>
      <c r="G43" s="364"/>
      <c r="H43" s="58" t="s">
        <v>234</v>
      </c>
      <c r="I43" s="59" t="s">
        <v>235</v>
      </c>
      <c r="J43" s="60">
        <v>110.6</v>
      </c>
      <c r="K43" s="62" t="s">
        <v>197</v>
      </c>
      <c r="L43" s="61">
        <f>14.5*J43*1.1*(1+0.1+0.9)*0.8</f>
        <v>2822.5120000000002</v>
      </c>
    </row>
    <row r="44" spans="1:12" ht="78" x14ac:dyDescent="0.3">
      <c r="A44" s="363"/>
      <c r="B44" s="364"/>
      <c r="C44" s="364"/>
      <c r="D44" s="364"/>
      <c r="E44" s="364"/>
      <c r="F44" s="364"/>
      <c r="G44" s="364"/>
      <c r="H44" s="58" t="s">
        <v>236</v>
      </c>
      <c r="I44" s="59" t="s">
        <v>237</v>
      </c>
      <c r="J44" s="60">
        <v>89.3</v>
      </c>
      <c r="K44" s="62" t="s">
        <v>197</v>
      </c>
      <c r="L44" s="61">
        <f>14.5*J44*1.1*(1+0.1+0.9)*0.8</f>
        <v>2278.9360000000001</v>
      </c>
    </row>
    <row r="45" spans="1:12" ht="78" x14ac:dyDescent="0.3">
      <c r="A45" s="363"/>
      <c r="B45" s="364"/>
      <c r="C45" s="364"/>
      <c r="D45" s="364"/>
      <c r="E45" s="364"/>
      <c r="F45" s="364"/>
      <c r="G45" s="364"/>
      <c r="H45" s="58" t="s">
        <v>238</v>
      </c>
      <c r="I45" s="59" t="s">
        <v>239</v>
      </c>
      <c r="J45" s="60">
        <v>10</v>
      </c>
      <c r="K45" s="62" t="s">
        <v>197</v>
      </c>
      <c r="L45" s="61">
        <f>14.5*J45*1.2*(1+0.1+0.9)*0.8</f>
        <v>278.40000000000003</v>
      </c>
    </row>
    <row r="46" spans="1:12" ht="78" x14ac:dyDescent="0.3">
      <c r="A46" s="63">
        <f>A35+1</f>
        <v>16</v>
      </c>
      <c r="B46" s="64">
        <v>43221</v>
      </c>
      <c r="C46" s="64">
        <v>45047</v>
      </c>
      <c r="D46" s="63" t="s">
        <v>240</v>
      </c>
      <c r="E46" s="63" t="s">
        <v>241</v>
      </c>
      <c r="F46" s="63" t="s">
        <v>242</v>
      </c>
      <c r="G46" s="63" t="s">
        <v>135</v>
      </c>
      <c r="H46" s="63" t="s">
        <v>200</v>
      </c>
      <c r="I46" s="65" t="s">
        <v>243</v>
      </c>
      <c r="J46" s="63">
        <v>91.9</v>
      </c>
      <c r="K46" s="63" t="s">
        <v>159</v>
      </c>
      <c r="L46" s="46">
        <f>14.5*J46*1.1*(1+0.1+0.9)*0.8</f>
        <v>2345.2880000000005</v>
      </c>
    </row>
    <row r="47" spans="1:12" ht="93.6" x14ac:dyDescent="0.3">
      <c r="A47" s="44">
        <f t="shared" ref="A47:A54" si="1">A46+1</f>
        <v>17</v>
      </c>
      <c r="B47" s="51">
        <v>43320</v>
      </c>
      <c r="C47" s="51">
        <v>45145</v>
      </c>
      <c r="D47" s="44" t="s">
        <v>244</v>
      </c>
      <c r="E47" s="44" t="s">
        <v>245</v>
      </c>
      <c r="F47" s="44" t="s">
        <v>246</v>
      </c>
      <c r="G47" s="44" t="s">
        <v>169</v>
      </c>
      <c r="H47" s="44" t="s">
        <v>247</v>
      </c>
      <c r="I47" s="45" t="s">
        <v>248</v>
      </c>
      <c r="J47" s="44">
        <v>71</v>
      </c>
      <c r="K47" s="44" t="s">
        <v>249</v>
      </c>
      <c r="L47" s="46">
        <f>14.5*J47*1*(1+0.1+1.1)*0.1</f>
        <v>226.49</v>
      </c>
    </row>
    <row r="48" spans="1:12" ht="93.6" x14ac:dyDescent="0.3">
      <c r="A48" s="52">
        <f t="shared" si="1"/>
        <v>18</v>
      </c>
      <c r="B48" s="53"/>
      <c r="C48" s="52" t="s">
        <v>250</v>
      </c>
      <c r="D48" s="52">
        <v>2011</v>
      </c>
      <c r="E48" s="52"/>
      <c r="F48" s="52" t="s">
        <v>251</v>
      </c>
      <c r="G48" s="52" t="s">
        <v>252</v>
      </c>
      <c r="H48" s="52" t="s">
        <v>253</v>
      </c>
      <c r="I48" s="54" t="s">
        <v>254</v>
      </c>
      <c r="J48" s="52">
        <v>169.8</v>
      </c>
      <c r="K48" s="52" t="s">
        <v>255</v>
      </c>
      <c r="L48" s="46">
        <f>14.5*J48*1.1*(1+0.1+0.2)*0.8</f>
        <v>2816.6424000000006</v>
      </c>
    </row>
    <row r="49" spans="1:12" ht="78" x14ac:dyDescent="0.3">
      <c r="A49" s="52">
        <f t="shared" si="1"/>
        <v>19</v>
      </c>
      <c r="B49" s="53">
        <v>43332</v>
      </c>
      <c r="C49" s="53">
        <v>45157</v>
      </c>
      <c r="D49" s="52" t="s">
        <v>256</v>
      </c>
      <c r="E49" s="52" t="s">
        <v>245</v>
      </c>
      <c r="F49" s="52" t="s">
        <v>251</v>
      </c>
      <c r="G49" s="52" t="s">
        <v>257</v>
      </c>
      <c r="H49" s="52" t="s">
        <v>258</v>
      </c>
      <c r="I49" s="54" t="s">
        <v>259</v>
      </c>
      <c r="J49" s="52">
        <v>113.4</v>
      </c>
      <c r="K49" s="52" t="s">
        <v>260</v>
      </c>
      <c r="L49" s="66">
        <f>14.5*J49*1.1*(1+0.1+1.1)*0.8</f>
        <v>3183.3648000000012</v>
      </c>
    </row>
    <row r="50" spans="1:12" ht="78" x14ac:dyDescent="0.3">
      <c r="A50" s="48">
        <f t="shared" si="1"/>
        <v>20</v>
      </c>
      <c r="B50" s="50">
        <v>42523</v>
      </c>
      <c r="C50" s="50">
        <v>46175</v>
      </c>
      <c r="D50" s="48" t="s">
        <v>261</v>
      </c>
      <c r="E50" s="48" t="s">
        <v>262</v>
      </c>
      <c r="F50" s="48" t="s">
        <v>263</v>
      </c>
      <c r="G50" s="48" t="s">
        <v>264</v>
      </c>
      <c r="H50" s="48" t="s">
        <v>265</v>
      </c>
      <c r="I50" s="49" t="s">
        <v>266</v>
      </c>
      <c r="J50" s="48">
        <v>62.6</v>
      </c>
      <c r="K50" s="48" t="s">
        <v>267</v>
      </c>
      <c r="L50" s="46">
        <f>14.5*J50*1.2*(1+1.2*0.3)*0.6</f>
        <v>888.81983999999989</v>
      </c>
    </row>
    <row r="51" spans="1:12" ht="93.6" x14ac:dyDescent="0.3">
      <c r="A51" s="63">
        <f t="shared" si="1"/>
        <v>21</v>
      </c>
      <c r="B51" s="64">
        <v>42858</v>
      </c>
      <c r="C51" s="64">
        <v>44683</v>
      </c>
      <c r="D51" s="63" t="s">
        <v>268</v>
      </c>
      <c r="E51" s="63" t="s">
        <v>269</v>
      </c>
      <c r="F51" s="63" t="s">
        <v>270</v>
      </c>
      <c r="G51" s="63" t="s">
        <v>102</v>
      </c>
      <c r="H51" s="63" t="s">
        <v>271</v>
      </c>
      <c r="I51" s="65" t="s">
        <v>272</v>
      </c>
      <c r="J51" s="63">
        <v>260.5</v>
      </c>
      <c r="K51" s="63" t="s">
        <v>116</v>
      </c>
      <c r="L51" s="46">
        <f>14.5*J51*1.2*(1+1.2+0.9)*1.2</f>
        <v>16861.643999999997</v>
      </c>
    </row>
    <row r="52" spans="1:12" ht="93.6" x14ac:dyDescent="0.3">
      <c r="A52" s="55">
        <f t="shared" si="1"/>
        <v>22</v>
      </c>
      <c r="B52" s="67">
        <v>43074</v>
      </c>
      <c r="C52" s="68">
        <v>44899</v>
      </c>
      <c r="D52" s="55" t="s">
        <v>273</v>
      </c>
      <c r="E52" s="55" t="s">
        <v>274</v>
      </c>
      <c r="F52" s="55" t="s">
        <v>168</v>
      </c>
      <c r="G52" s="55" t="s">
        <v>102</v>
      </c>
      <c r="H52" s="55" t="s">
        <v>275</v>
      </c>
      <c r="I52" s="56" t="s">
        <v>276</v>
      </c>
      <c r="J52" s="55">
        <v>121.1</v>
      </c>
      <c r="K52" s="55" t="s">
        <v>277</v>
      </c>
      <c r="L52" s="46">
        <f>14.5*J52*1*(1+0.5+1.1)*1.2</f>
        <v>5478.5639999999994</v>
      </c>
    </row>
    <row r="53" spans="1:12" ht="109.2" x14ac:dyDescent="0.3">
      <c r="A53" s="42">
        <f t="shared" si="1"/>
        <v>23</v>
      </c>
      <c r="B53" s="69">
        <v>43181</v>
      </c>
      <c r="C53" s="51">
        <v>45006</v>
      </c>
      <c r="D53" s="44" t="s">
        <v>278</v>
      </c>
      <c r="E53" s="44" t="s">
        <v>104</v>
      </c>
      <c r="F53" s="44" t="s">
        <v>279</v>
      </c>
      <c r="G53" s="44" t="s">
        <v>102</v>
      </c>
      <c r="H53" s="44" t="s">
        <v>280</v>
      </c>
      <c r="I53" s="45" t="s">
        <v>281</v>
      </c>
      <c r="J53" s="44">
        <v>28.05</v>
      </c>
      <c r="K53" s="44" t="s">
        <v>282</v>
      </c>
      <c r="L53" s="46">
        <f>14.5*J53*1*(1+0.1+0.9)*0.1</f>
        <v>81.345000000000013</v>
      </c>
    </row>
    <row r="54" spans="1:12" ht="78" x14ac:dyDescent="0.3">
      <c r="A54" s="70">
        <f t="shared" si="1"/>
        <v>24</v>
      </c>
      <c r="B54" s="71">
        <v>43438</v>
      </c>
      <c r="C54" s="53">
        <v>44533</v>
      </c>
      <c r="D54" s="52" t="s">
        <v>283</v>
      </c>
      <c r="E54" s="52" t="s">
        <v>284</v>
      </c>
      <c r="F54" s="72" t="s">
        <v>251</v>
      </c>
      <c r="G54" s="52" t="s">
        <v>102</v>
      </c>
      <c r="H54" s="52" t="s">
        <v>285</v>
      </c>
      <c r="I54" s="54" t="s">
        <v>286</v>
      </c>
      <c r="J54" s="52">
        <v>17.5</v>
      </c>
      <c r="K54" s="52" t="s">
        <v>287</v>
      </c>
      <c r="L54" s="46">
        <f>14.5*J54*1.1*(1+0.1+0.3)*0.8</f>
        <v>312.62000000000006</v>
      </c>
    </row>
    <row r="55" spans="1:12" ht="93.6" x14ac:dyDescent="0.3">
      <c r="A55" s="70">
        <f t="shared" ref="A55:A61" si="2">A54+1</f>
        <v>25</v>
      </c>
      <c r="B55" s="71">
        <v>43476</v>
      </c>
      <c r="C55" s="53">
        <v>44571</v>
      </c>
      <c r="D55" s="52" t="s">
        <v>288</v>
      </c>
      <c r="E55" s="52" t="s">
        <v>289</v>
      </c>
      <c r="F55" s="72" t="s">
        <v>251</v>
      </c>
      <c r="G55" s="52" t="s">
        <v>102</v>
      </c>
      <c r="H55" s="52" t="s">
        <v>290</v>
      </c>
      <c r="I55" s="54" t="s">
        <v>291</v>
      </c>
      <c r="J55" s="52">
        <v>29.1</v>
      </c>
      <c r="K55" s="52" t="s">
        <v>287</v>
      </c>
      <c r="L55" s="46">
        <f>14.5*J55*1.2*(1+0.1+0.3)*0.8</f>
        <v>567.10080000000005</v>
      </c>
    </row>
    <row r="56" spans="1:12" ht="124.8" x14ac:dyDescent="0.3">
      <c r="A56" s="73">
        <f t="shared" si="2"/>
        <v>26</v>
      </c>
      <c r="B56" s="74">
        <v>43543</v>
      </c>
      <c r="C56" s="64">
        <v>44638</v>
      </c>
      <c r="D56" s="63" t="s">
        <v>292</v>
      </c>
      <c r="E56" s="63" t="s">
        <v>293</v>
      </c>
      <c r="F56" s="75" t="s">
        <v>294</v>
      </c>
      <c r="G56" s="63" t="s">
        <v>102</v>
      </c>
      <c r="H56" s="63" t="s">
        <v>295</v>
      </c>
      <c r="I56" s="65" t="s">
        <v>296</v>
      </c>
      <c r="J56" s="63">
        <v>265.5</v>
      </c>
      <c r="K56" s="63" t="s">
        <v>297</v>
      </c>
      <c r="L56" s="46">
        <f>(14.5*118.9*1.2*(1+1.2+0.5)*1.2)+(14.5*201.9*1.2*(1+1.2+0.7)*0.3)</f>
        <v>9759.4686000000002</v>
      </c>
    </row>
    <row r="57" spans="1:12" ht="78" x14ac:dyDescent="0.3">
      <c r="A57" s="73">
        <f t="shared" si="2"/>
        <v>27</v>
      </c>
      <c r="B57" s="76">
        <v>43568</v>
      </c>
      <c r="C57" s="77">
        <v>44663</v>
      </c>
      <c r="D57" s="78" t="s">
        <v>298</v>
      </c>
      <c r="E57" s="78" t="s">
        <v>299</v>
      </c>
      <c r="F57" s="78" t="s">
        <v>194</v>
      </c>
      <c r="G57" s="78" t="s">
        <v>264</v>
      </c>
      <c r="H57" s="78" t="s">
        <v>300</v>
      </c>
      <c r="I57" s="79" t="s">
        <v>301</v>
      </c>
      <c r="J57" s="78">
        <v>69.400000000000006</v>
      </c>
      <c r="K57" s="78" t="s">
        <v>302</v>
      </c>
      <c r="L57" s="46">
        <f>14.5*J57*1*(1+0.1+0.9)*0.8</f>
        <v>1610.0800000000002</v>
      </c>
    </row>
    <row r="58" spans="1:12" ht="93.6" x14ac:dyDescent="0.3">
      <c r="A58" s="80">
        <f>A57+1</f>
        <v>28</v>
      </c>
      <c r="B58" s="68">
        <v>43698</v>
      </c>
      <c r="C58" s="68">
        <v>44793</v>
      </c>
      <c r="D58" s="55" t="s">
        <v>303</v>
      </c>
      <c r="E58" s="55" t="s">
        <v>304</v>
      </c>
      <c r="F58" s="55" t="s">
        <v>305</v>
      </c>
      <c r="G58" s="55" t="s">
        <v>306</v>
      </c>
      <c r="H58" s="55" t="s">
        <v>307</v>
      </c>
      <c r="I58" s="56" t="s">
        <v>308</v>
      </c>
      <c r="J58" s="55">
        <v>203.4</v>
      </c>
      <c r="K58" s="55" t="s">
        <v>309</v>
      </c>
      <c r="L58" s="46">
        <f>14.5*J58*1.2*(1+1.2+1.1)*1.2</f>
        <v>14015.073600000003</v>
      </c>
    </row>
    <row r="59" spans="1:12" ht="78" x14ac:dyDescent="0.3">
      <c r="A59" s="81">
        <f t="shared" si="2"/>
        <v>29</v>
      </c>
      <c r="B59" s="82">
        <v>43616</v>
      </c>
      <c r="C59" s="53">
        <v>45442</v>
      </c>
      <c r="D59" s="83" t="s">
        <v>310</v>
      </c>
      <c r="E59" s="52" t="s">
        <v>304</v>
      </c>
      <c r="F59" s="83" t="s">
        <v>311</v>
      </c>
      <c r="G59" s="83" t="s">
        <v>312</v>
      </c>
      <c r="H59" s="83" t="s">
        <v>313</v>
      </c>
      <c r="I59" s="84" t="s">
        <v>314</v>
      </c>
      <c r="J59" s="85">
        <v>50.7</v>
      </c>
      <c r="K59" s="52" t="s">
        <v>315</v>
      </c>
      <c r="L59" s="46">
        <f>14.5*J59*1.2*(1+0.1+0.9)*0.8</f>
        <v>1411.4880000000003</v>
      </c>
    </row>
    <row r="60" spans="1:12" ht="93.6" x14ac:dyDescent="0.3">
      <c r="A60" s="86">
        <f>A59+1</f>
        <v>30</v>
      </c>
      <c r="B60" s="43">
        <v>43679</v>
      </c>
      <c r="C60" s="43">
        <v>44774</v>
      </c>
      <c r="D60" s="44" t="s">
        <v>316</v>
      </c>
      <c r="E60" s="87" t="s">
        <v>317</v>
      </c>
      <c r="F60" s="44" t="s">
        <v>318</v>
      </c>
      <c r="G60" s="44" t="s">
        <v>102</v>
      </c>
      <c r="H60" s="44" t="s">
        <v>319</v>
      </c>
      <c r="I60" s="45" t="s">
        <v>320</v>
      </c>
      <c r="J60" s="44">
        <v>28.25</v>
      </c>
      <c r="K60" s="44" t="s">
        <v>321</v>
      </c>
      <c r="L60" s="46">
        <f>14.5*J60*1*(1+0.1+0.9)*1.2*12/1987*16</f>
        <v>94.995067941620519</v>
      </c>
    </row>
    <row r="61" spans="1:12" ht="93.6" x14ac:dyDescent="0.3">
      <c r="A61" s="81">
        <f t="shared" si="2"/>
        <v>31</v>
      </c>
      <c r="B61" s="53">
        <v>43760</v>
      </c>
      <c r="C61" s="53">
        <v>44855</v>
      </c>
      <c r="D61" s="52" t="s">
        <v>322</v>
      </c>
      <c r="E61" s="52" t="s">
        <v>323</v>
      </c>
      <c r="F61" s="52" t="s">
        <v>251</v>
      </c>
      <c r="G61" s="52" t="s">
        <v>324</v>
      </c>
      <c r="H61" s="52" t="s">
        <v>325</v>
      </c>
      <c r="I61" s="54" t="s">
        <v>326</v>
      </c>
      <c r="J61" s="52">
        <v>63.1</v>
      </c>
      <c r="K61" s="52" t="s">
        <v>327</v>
      </c>
      <c r="L61" s="46">
        <f>14.5*J61*1.1*(1+0.1+0.2)*0.8</f>
        <v>1046.7028000000003</v>
      </c>
    </row>
    <row r="62" spans="1:12" ht="78" x14ac:dyDescent="0.3">
      <c r="A62" s="365">
        <f>A61+1</f>
        <v>32</v>
      </c>
      <c r="B62" s="366">
        <v>43647</v>
      </c>
      <c r="C62" s="366">
        <v>44742</v>
      </c>
      <c r="D62" s="365" t="s">
        <v>328</v>
      </c>
      <c r="E62" s="365" t="s">
        <v>329</v>
      </c>
      <c r="F62" s="365" t="s">
        <v>330</v>
      </c>
      <c r="G62" s="365" t="s">
        <v>217</v>
      </c>
      <c r="H62" s="83" t="s">
        <v>331</v>
      </c>
      <c r="I62" s="84" t="s">
        <v>332</v>
      </c>
      <c r="J62" s="85">
        <v>5.32</v>
      </c>
      <c r="K62" s="365" t="s">
        <v>333</v>
      </c>
      <c r="L62" s="46">
        <f>14.5*J62*1*(1+0.1+1.1)*0.8</f>
        <v>135.76640000000003</v>
      </c>
    </row>
    <row r="63" spans="1:12" ht="78" x14ac:dyDescent="0.3">
      <c r="A63" s="365"/>
      <c r="B63" s="367"/>
      <c r="C63" s="367"/>
      <c r="D63" s="365"/>
      <c r="E63" s="368"/>
      <c r="F63" s="365"/>
      <c r="G63" s="367"/>
      <c r="H63" s="83" t="s">
        <v>334</v>
      </c>
      <c r="I63" s="84" t="s">
        <v>335</v>
      </c>
      <c r="J63" s="85">
        <v>133.24</v>
      </c>
      <c r="K63" s="365"/>
      <c r="L63" s="46">
        <f>14.5*J63*1.1*(1+0.1+1.1)*0.8</f>
        <v>3740.3132800000008</v>
      </c>
    </row>
    <row r="64" spans="1:12" ht="78" x14ac:dyDescent="0.3">
      <c r="A64" s="365"/>
      <c r="B64" s="367"/>
      <c r="C64" s="367"/>
      <c r="D64" s="365"/>
      <c r="E64" s="368"/>
      <c r="F64" s="365"/>
      <c r="G64" s="367"/>
      <c r="H64" s="83" t="s">
        <v>336</v>
      </c>
      <c r="I64" s="84" t="s">
        <v>337</v>
      </c>
      <c r="J64" s="85">
        <v>62.8</v>
      </c>
      <c r="K64" s="365"/>
      <c r="L64" s="46">
        <f>14.5*J64*1*(1+1.2+1.1)*0.8</f>
        <v>2403.9839999999999</v>
      </c>
    </row>
    <row r="65" spans="1:12" ht="156" x14ac:dyDescent="0.3">
      <c r="A65" s="88">
        <f>A62+1</f>
        <v>33</v>
      </c>
      <c r="B65" s="68">
        <v>43749</v>
      </c>
      <c r="C65" s="68">
        <v>44844</v>
      </c>
      <c r="D65" s="88" t="s">
        <v>338</v>
      </c>
      <c r="E65" s="55" t="s">
        <v>323</v>
      </c>
      <c r="F65" s="88" t="s">
        <v>339</v>
      </c>
      <c r="G65" s="55" t="s">
        <v>324</v>
      </c>
      <c r="H65" s="88" t="s">
        <v>340</v>
      </c>
      <c r="I65" s="89" t="s">
        <v>341</v>
      </c>
      <c r="J65" s="90">
        <v>34.4</v>
      </c>
      <c r="K65" s="88" t="s">
        <v>342</v>
      </c>
      <c r="L65" s="91">
        <f>14.5*J65*1.2*(1+1.2+0.2)*0.6</f>
        <v>861.92640000000006</v>
      </c>
    </row>
    <row r="66" spans="1:12" ht="109.2" x14ac:dyDescent="0.3">
      <c r="A66" s="83">
        <f>A65+1</f>
        <v>34</v>
      </c>
      <c r="B66" s="82">
        <v>43740</v>
      </c>
      <c r="C66" s="82">
        <v>45566</v>
      </c>
      <c r="D66" s="52" t="s">
        <v>343</v>
      </c>
      <c r="E66" s="52" t="s">
        <v>344</v>
      </c>
      <c r="F66" s="83" t="s">
        <v>345</v>
      </c>
      <c r="G66" s="52" t="s">
        <v>264</v>
      </c>
      <c r="H66" s="83" t="s">
        <v>346</v>
      </c>
      <c r="I66" s="84" t="s">
        <v>347</v>
      </c>
      <c r="J66" s="85">
        <v>112</v>
      </c>
      <c r="K66" s="83" t="s">
        <v>348</v>
      </c>
      <c r="L66" s="46">
        <f>14.5*J66*1.2*(1+0.1+1.1)*1.2</f>
        <v>5144.8320000000003</v>
      </c>
    </row>
    <row r="67" spans="1:12" ht="93.6" x14ac:dyDescent="0.3">
      <c r="A67" s="92">
        <f>A66+1</f>
        <v>35</v>
      </c>
      <c r="B67" s="50" t="s">
        <v>349</v>
      </c>
      <c r="C67" s="50">
        <v>44926</v>
      </c>
      <c r="D67" s="48" t="s">
        <v>350</v>
      </c>
      <c r="E67" s="93" t="s">
        <v>351</v>
      </c>
      <c r="F67" s="48" t="s">
        <v>352</v>
      </c>
      <c r="G67" s="48" t="s">
        <v>102</v>
      </c>
      <c r="H67" s="48" t="s">
        <v>186</v>
      </c>
      <c r="I67" s="49" t="s">
        <v>353</v>
      </c>
      <c r="J67" s="48">
        <v>14</v>
      </c>
      <c r="K67" s="48" t="s">
        <v>354</v>
      </c>
      <c r="L67" s="46">
        <f>14.5*J67*1.2*(1+1.2+0.9)*1.2</f>
        <v>906.19199999999989</v>
      </c>
    </row>
    <row r="68" spans="1:12" ht="93.6" x14ac:dyDescent="0.3">
      <c r="A68" s="87">
        <f>A67+1</f>
        <v>36</v>
      </c>
      <c r="B68" s="51" t="s">
        <v>355</v>
      </c>
      <c r="C68" s="51">
        <v>44926</v>
      </c>
      <c r="D68" s="87" t="s">
        <v>356</v>
      </c>
      <c r="E68" s="87" t="s">
        <v>351</v>
      </c>
      <c r="F68" s="87" t="s">
        <v>357</v>
      </c>
      <c r="G68" s="87" t="s">
        <v>324</v>
      </c>
      <c r="H68" s="87" t="s">
        <v>358</v>
      </c>
      <c r="I68" s="94" t="s">
        <v>359</v>
      </c>
      <c r="J68" s="95">
        <v>17.600000000000001</v>
      </c>
      <c r="K68" s="87" t="s">
        <v>354</v>
      </c>
      <c r="L68" s="46">
        <f>14.5*J68*1.2*(1+1.2+0.9)*1.2</f>
        <v>1139.2128</v>
      </c>
    </row>
    <row r="69" spans="1:12" ht="78" x14ac:dyDescent="0.3">
      <c r="A69" s="364">
        <f>A68+1</f>
        <v>37</v>
      </c>
      <c r="B69" s="370" t="s">
        <v>360</v>
      </c>
      <c r="C69" s="370">
        <v>44928</v>
      </c>
      <c r="D69" s="364" t="s">
        <v>361</v>
      </c>
      <c r="E69" s="364" t="s">
        <v>351</v>
      </c>
      <c r="F69" s="364" t="s">
        <v>362</v>
      </c>
      <c r="G69" s="364" t="s">
        <v>264</v>
      </c>
      <c r="H69" s="63" t="s">
        <v>363</v>
      </c>
      <c r="I69" s="65" t="s">
        <v>364</v>
      </c>
      <c r="J69" s="63">
        <v>150.63999999999999</v>
      </c>
      <c r="K69" s="352" t="s">
        <v>365</v>
      </c>
      <c r="L69" s="46">
        <f>14.5*J69*1.1*(1+0.5+0.9)*0.2</f>
        <v>1153.2998400000001</v>
      </c>
    </row>
    <row r="70" spans="1:12" ht="62.4" x14ac:dyDescent="0.3">
      <c r="A70" s="364"/>
      <c r="B70" s="364"/>
      <c r="C70" s="364"/>
      <c r="D70" s="364"/>
      <c r="E70" s="368"/>
      <c r="F70" s="364"/>
      <c r="G70" s="364"/>
      <c r="H70" s="63" t="s">
        <v>366</v>
      </c>
      <c r="I70" s="65" t="s">
        <v>367</v>
      </c>
      <c r="J70" s="63">
        <v>219.3</v>
      </c>
      <c r="K70" s="279"/>
      <c r="L70" s="46">
        <f>14.5*J70*1*(1+0.1+0.9)*0.2</f>
        <v>1271.9400000000003</v>
      </c>
    </row>
    <row r="71" spans="1:12" ht="93.6" x14ac:dyDescent="0.3">
      <c r="A71" s="63">
        <f>A69+1</f>
        <v>38</v>
      </c>
      <c r="B71" s="64" t="s">
        <v>368</v>
      </c>
      <c r="C71" s="64">
        <v>44928</v>
      </c>
      <c r="D71" s="63" t="s">
        <v>369</v>
      </c>
      <c r="E71" s="63" t="s">
        <v>351</v>
      </c>
      <c r="F71" s="63" t="s">
        <v>370</v>
      </c>
      <c r="G71" s="63" t="s">
        <v>264</v>
      </c>
      <c r="H71" s="63" t="s">
        <v>371</v>
      </c>
      <c r="I71" s="65" t="s">
        <v>372</v>
      </c>
      <c r="J71" s="63">
        <v>115.7</v>
      </c>
      <c r="K71" s="63" t="s">
        <v>373</v>
      </c>
      <c r="L71" s="46">
        <f>14.5*J71*1.1*(1+0.1+1.1)*0.2</f>
        <v>811.98260000000028</v>
      </c>
    </row>
    <row r="72" spans="1:12" ht="109.2" x14ac:dyDescent="0.3">
      <c r="A72" s="44">
        <f t="shared" ref="A72:A77" si="3">A71+1</f>
        <v>39</v>
      </c>
      <c r="B72" s="51">
        <v>43921</v>
      </c>
      <c r="C72" s="51">
        <v>45015</v>
      </c>
      <c r="D72" s="44" t="s">
        <v>374</v>
      </c>
      <c r="E72" s="44" t="s">
        <v>375</v>
      </c>
      <c r="F72" s="44" t="s">
        <v>376</v>
      </c>
      <c r="G72" s="44" t="s">
        <v>264</v>
      </c>
      <c r="H72" s="44" t="s">
        <v>377</v>
      </c>
      <c r="I72" s="45" t="s">
        <v>378</v>
      </c>
      <c r="J72" s="44">
        <v>12.7</v>
      </c>
      <c r="K72" s="44" t="s">
        <v>379</v>
      </c>
      <c r="L72" s="46">
        <f>14.5*J72*1*(1+0.3+0.9)*1.2*12/1987*16</f>
        <v>46.976322093608452</v>
      </c>
    </row>
    <row r="73" spans="1:12" ht="109.2" x14ac:dyDescent="0.3">
      <c r="A73" s="44">
        <f t="shared" si="3"/>
        <v>40</v>
      </c>
      <c r="B73" s="51" t="s">
        <v>380</v>
      </c>
      <c r="C73" s="51">
        <v>45015</v>
      </c>
      <c r="D73" s="44" t="s">
        <v>381</v>
      </c>
      <c r="E73" s="44" t="s">
        <v>375</v>
      </c>
      <c r="F73" s="44" t="s">
        <v>376</v>
      </c>
      <c r="G73" s="44" t="s">
        <v>264</v>
      </c>
      <c r="H73" s="44" t="s">
        <v>319</v>
      </c>
      <c r="I73" s="45" t="s">
        <v>382</v>
      </c>
      <c r="J73" s="44">
        <v>64.3</v>
      </c>
      <c r="K73" s="44" t="s">
        <v>383</v>
      </c>
      <c r="L73" s="46">
        <f>14.5*J73*1*(1+0.1+0.9)*0.1</f>
        <v>186.47</v>
      </c>
    </row>
    <row r="74" spans="1:12" ht="156" x14ac:dyDescent="0.3">
      <c r="A74" s="52">
        <f t="shared" si="3"/>
        <v>41</v>
      </c>
      <c r="B74" s="53" t="s">
        <v>380</v>
      </c>
      <c r="C74" s="53">
        <v>45015</v>
      </c>
      <c r="D74" s="52" t="s">
        <v>384</v>
      </c>
      <c r="E74" s="52" t="s">
        <v>385</v>
      </c>
      <c r="F74" s="52" t="s">
        <v>386</v>
      </c>
      <c r="G74" s="52" t="s">
        <v>162</v>
      </c>
      <c r="H74" s="52" t="s">
        <v>387</v>
      </c>
      <c r="I74" s="54" t="s">
        <v>388</v>
      </c>
      <c r="J74" s="52">
        <v>201.9</v>
      </c>
      <c r="K74" s="52" t="s">
        <v>389</v>
      </c>
      <c r="L74" s="46">
        <f>14.5*J74*1*(1+1.2+1.1)*0.1</f>
        <v>966.09150000000011</v>
      </c>
    </row>
    <row r="75" spans="1:12" ht="93.6" x14ac:dyDescent="0.3">
      <c r="A75" s="55">
        <f t="shared" si="3"/>
        <v>42</v>
      </c>
      <c r="B75" s="68" t="s">
        <v>390</v>
      </c>
      <c r="C75" s="68">
        <v>44926</v>
      </c>
      <c r="D75" s="55" t="s">
        <v>391</v>
      </c>
      <c r="E75" s="55" t="s">
        <v>375</v>
      </c>
      <c r="F75" s="96" t="s">
        <v>305</v>
      </c>
      <c r="G75" s="55" t="s">
        <v>102</v>
      </c>
      <c r="H75" s="55" t="s">
        <v>228</v>
      </c>
      <c r="I75" s="56" t="s">
        <v>392</v>
      </c>
      <c r="J75" s="55">
        <v>116.3</v>
      </c>
      <c r="K75" s="55" t="s">
        <v>393</v>
      </c>
      <c r="L75" s="46">
        <f>14.5*J75*1*(1+1.2+0.9)*1.2</f>
        <v>6273.2219999999988</v>
      </c>
    </row>
    <row r="76" spans="1:12" ht="124.8" x14ac:dyDescent="0.3">
      <c r="A76" s="55">
        <f t="shared" si="3"/>
        <v>43</v>
      </c>
      <c r="B76" s="68" t="s">
        <v>394</v>
      </c>
      <c r="C76" s="68">
        <v>44928</v>
      </c>
      <c r="D76" s="55" t="s">
        <v>395</v>
      </c>
      <c r="E76" s="55" t="s">
        <v>396</v>
      </c>
      <c r="F76" s="55" t="s">
        <v>397</v>
      </c>
      <c r="G76" s="55" t="s">
        <v>102</v>
      </c>
      <c r="H76" s="55" t="s">
        <v>398</v>
      </c>
      <c r="I76" s="56" t="s">
        <v>399</v>
      </c>
      <c r="J76" s="55">
        <v>197.9</v>
      </c>
      <c r="K76" s="55" t="s">
        <v>400</v>
      </c>
      <c r="L76" s="46">
        <f>14.5*J76*1.2*(1+1.2+0.9)*1.2</f>
        <v>12809.671200000001</v>
      </c>
    </row>
    <row r="77" spans="1:12" ht="78" x14ac:dyDescent="0.3">
      <c r="A77" s="367">
        <f t="shared" si="3"/>
        <v>44</v>
      </c>
      <c r="B77" s="374" t="s">
        <v>401</v>
      </c>
      <c r="C77" s="374">
        <v>44927</v>
      </c>
      <c r="D77" s="367" t="s">
        <v>402</v>
      </c>
      <c r="E77" s="367" t="s">
        <v>375</v>
      </c>
      <c r="F77" s="367" t="s">
        <v>403</v>
      </c>
      <c r="G77" s="367" t="s">
        <v>264</v>
      </c>
      <c r="H77" s="52" t="s">
        <v>404</v>
      </c>
      <c r="I77" s="54" t="s">
        <v>405</v>
      </c>
      <c r="J77" s="52">
        <v>68.5</v>
      </c>
      <c r="K77" s="367" t="s">
        <v>406</v>
      </c>
      <c r="L77" s="46">
        <f>14.5*J77*1*(1+1.2+0.9)*0.9</f>
        <v>2771.1675000000005</v>
      </c>
    </row>
    <row r="78" spans="1:12" ht="62.4" x14ac:dyDescent="0.3">
      <c r="A78" s="367"/>
      <c r="B78" s="367"/>
      <c r="C78" s="367"/>
      <c r="D78" s="367"/>
      <c r="E78" s="368"/>
      <c r="F78" s="367"/>
      <c r="G78" s="367"/>
      <c r="H78" s="52" t="s">
        <v>407</v>
      </c>
      <c r="I78" s="54" t="s">
        <v>408</v>
      </c>
      <c r="J78" s="52">
        <v>131</v>
      </c>
      <c r="K78" s="367"/>
      <c r="L78" s="46">
        <f>14.5*J78*1*(1+1.2+0.9)*0.9</f>
        <v>5299.6049999999996</v>
      </c>
    </row>
    <row r="79" spans="1:12" ht="78" x14ac:dyDescent="0.3">
      <c r="A79" s="367"/>
      <c r="B79" s="367"/>
      <c r="C79" s="367"/>
      <c r="D79" s="367"/>
      <c r="E79" s="368"/>
      <c r="F79" s="367"/>
      <c r="G79" s="367"/>
      <c r="H79" s="52" t="s">
        <v>409</v>
      </c>
      <c r="I79" s="54" t="s">
        <v>410</v>
      </c>
      <c r="J79" s="52">
        <v>180.6</v>
      </c>
      <c r="K79" s="367"/>
      <c r="L79" s="46">
        <f>14.5*J79*1.1*(1+0.1+0.9)*0.9</f>
        <v>5185.0260000000007</v>
      </c>
    </row>
    <row r="80" spans="1:12" ht="78" x14ac:dyDescent="0.3">
      <c r="A80" s="52">
        <f>A77+1</f>
        <v>45</v>
      </c>
      <c r="B80" s="53">
        <v>44033</v>
      </c>
      <c r="C80" s="53">
        <v>45127</v>
      </c>
      <c r="D80" s="52" t="s">
        <v>411</v>
      </c>
      <c r="E80" s="52" t="s">
        <v>412</v>
      </c>
      <c r="F80" s="52" t="s">
        <v>251</v>
      </c>
      <c r="G80" s="52" t="s">
        <v>102</v>
      </c>
      <c r="H80" s="52" t="s">
        <v>413</v>
      </c>
      <c r="I80" s="54" t="s">
        <v>414</v>
      </c>
      <c r="J80" s="52">
        <v>12.5</v>
      </c>
      <c r="K80" s="52" t="s">
        <v>415</v>
      </c>
      <c r="L80" s="46">
        <f>14.5*J80*1*(1+0.1+0)*0.8</f>
        <v>159.50000000000003</v>
      </c>
    </row>
    <row r="81" spans="1:12" ht="140.4" x14ac:dyDescent="0.3">
      <c r="A81" s="52">
        <f>A80+1</f>
        <v>46</v>
      </c>
      <c r="B81" s="82" t="s">
        <v>416</v>
      </c>
      <c r="C81" s="82">
        <v>44961</v>
      </c>
      <c r="D81" s="83" t="s">
        <v>417</v>
      </c>
      <c r="E81" s="83" t="s">
        <v>418</v>
      </c>
      <c r="F81" s="83" t="s">
        <v>419</v>
      </c>
      <c r="G81" s="83" t="s">
        <v>217</v>
      </c>
      <c r="H81" s="83" t="s">
        <v>420</v>
      </c>
      <c r="I81" s="84" t="s">
        <v>421</v>
      </c>
      <c r="J81" s="85">
        <v>201.5</v>
      </c>
      <c r="K81" s="83" t="s">
        <v>422</v>
      </c>
      <c r="L81" s="46">
        <f>14.5*J81*1.2*(1+0.1+0.9)*0.8</f>
        <v>5609.76</v>
      </c>
    </row>
    <row r="82" spans="1:12" ht="171.6" x14ac:dyDescent="0.3">
      <c r="A82" s="52">
        <f>A81+1</f>
        <v>47</v>
      </c>
      <c r="B82" s="53" t="s">
        <v>423</v>
      </c>
      <c r="C82" s="53">
        <v>45051</v>
      </c>
      <c r="D82" s="52" t="s">
        <v>424</v>
      </c>
      <c r="E82" s="83" t="s">
        <v>418</v>
      </c>
      <c r="F82" s="52" t="s">
        <v>425</v>
      </c>
      <c r="G82" s="52" t="s">
        <v>264</v>
      </c>
      <c r="H82" s="52" t="s">
        <v>426</v>
      </c>
      <c r="I82" s="54" t="s">
        <v>427</v>
      </c>
      <c r="J82" s="52">
        <v>629.4</v>
      </c>
      <c r="K82" s="52" t="s">
        <v>428</v>
      </c>
      <c r="L82" s="46">
        <f>14.5*J82*1.1*(1+1.2+1.1)*0.5</f>
        <v>16564.234500000002</v>
      </c>
    </row>
    <row r="83" spans="1:12" ht="78" x14ac:dyDescent="0.3">
      <c r="A83" s="371">
        <f>A82+1</f>
        <v>48</v>
      </c>
      <c r="B83" s="372" t="s">
        <v>429</v>
      </c>
      <c r="C83" s="372">
        <v>44917</v>
      </c>
      <c r="D83" s="371" t="s">
        <v>430</v>
      </c>
      <c r="E83" s="371" t="s">
        <v>418</v>
      </c>
      <c r="F83" s="371" t="s">
        <v>431</v>
      </c>
      <c r="G83" s="371" t="s">
        <v>264</v>
      </c>
      <c r="H83" s="44" t="s">
        <v>432</v>
      </c>
      <c r="I83" s="45" t="s">
        <v>433</v>
      </c>
      <c r="J83" s="44">
        <v>91.9</v>
      </c>
      <c r="K83" s="373" t="s">
        <v>434</v>
      </c>
      <c r="L83" s="46">
        <f>14.5*J83*1.1*(1+0.1+1.1)*1.2</f>
        <v>3869.7252000000012</v>
      </c>
    </row>
    <row r="84" spans="1:12" ht="62.4" x14ac:dyDescent="0.3">
      <c r="A84" s="371"/>
      <c r="B84" s="371"/>
      <c r="C84" s="371"/>
      <c r="D84" s="371"/>
      <c r="E84" s="368"/>
      <c r="F84" s="371"/>
      <c r="G84" s="371"/>
      <c r="H84" s="44" t="s">
        <v>435</v>
      </c>
      <c r="I84" s="45" t="s">
        <v>436</v>
      </c>
      <c r="J84" s="44">
        <v>66</v>
      </c>
      <c r="K84" s="279"/>
      <c r="L84" s="46">
        <f>14.5*J84*1*(1+0.1+1.1)*0.2</f>
        <v>421.08000000000004</v>
      </c>
    </row>
    <row r="85" spans="1:12" ht="156" x14ac:dyDescent="0.3">
      <c r="A85" s="42">
        <f>A83+1</f>
        <v>49</v>
      </c>
      <c r="B85" s="51" t="s">
        <v>437</v>
      </c>
      <c r="C85" s="51">
        <v>44931</v>
      </c>
      <c r="D85" s="44" t="s">
        <v>438</v>
      </c>
      <c r="E85" s="44" t="s">
        <v>418</v>
      </c>
      <c r="F85" s="97" t="s">
        <v>439</v>
      </c>
      <c r="G85" s="44" t="s">
        <v>102</v>
      </c>
      <c r="H85" s="44" t="s">
        <v>440</v>
      </c>
      <c r="I85" s="45" t="s">
        <v>441</v>
      </c>
      <c r="J85" s="44">
        <v>48.6</v>
      </c>
      <c r="K85" s="44" t="s">
        <v>442</v>
      </c>
      <c r="L85" s="46">
        <f>14.5*J85*1*(1+1.2+0.3)*0.6</f>
        <v>1057.05</v>
      </c>
    </row>
    <row r="86" spans="1:12" ht="93.6" x14ac:dyDescent="0.3">
      <c r="A86" s="42">
        <f>A85+1</f>
        <v>50</v>
      </c>
      <c r="B86" s="43" t="s">
        <v>443</v>
      </c>
      <c r="C86" s="51">
        <v>45190</v>
      </c>
      <c r="D86" s="87" t="s">
        <v>444</v>
      </c>
      <c r="E86" s="87" t="s">
        <v>445</v>
      </c>
      <c r="F86" s="87" t="s">
        <v>446</v>
      </c>
      <c r="G86" s="87" t="s">
        <v>447</v>
      </c>
      <c r="H86" s="95" t="s">
        <v>448</v>
      </c>
      <c r="I86" s="98" t="s">
        <v>449</v>
      </c>
      <c r="J86" s="95">
        <v>247.7</v>
      </c>
      <c r="K86" s="43" t="s">
        <v>450</v>
      </c>
      <c r="L86" s="46">
        <f>14.5*J86*1*(1+0.5*1.1)*0.9</f>
        <v>5010.3517499999998</v>
      </c>
    </row>
    <row r="87" spans="1:12" ht="140.4" x14ac:dyDescent="0.3">
      <c r="A87" s="42">
        <f>A86+1</f>
        <v>51</v>
      </c>
      <c r="B87" s="51" t="s">
        <v>451</v>
      </c>
      <c r="C87" s="99">
        <v>45296</v>
      </c>
      <c r="D87" s="44" t="s">
        <v>452</v>
      </c>
      <c r="E87" s="44" t="s">
        <v>453</v>
      </c>
      <c r="F87" s="97" t="s">
        <v>454</v>
      </c>
      <c r="G87" s="44" t="s">
        <v>102</v>
      </c>
      <c r="H87" s="44" t="s">
        <v>455</v>
      </c>
      <c r="I87" s="45" t="s">
        <v>456</v>
      </c>
      <c r="J87" s="44">
        <v>32.200000000000003</v>
      </c>
      <c r="K87" s="44" t="s">
        <v>457</v>
      </c>
      <c r="L87" s="46">
        <f>14.5*J87*1*(1+0.1+0.9)*1.2*12/1987*24</f>
        <v>162.41634625062909</v>
      </c>
    </row>
    <row r="88" spans="1:12" ht="93.6" x14ac:dyDescent="0.3">
      <c r="A88" s="87">
        <f>A87+1</f>
        <v>52</v>
      </c>
      <c r="B88" s="51" t="s">
        <v>458</v>
      </c>
      <c r="C88" s="51">
        <v>47757</v>
      </c>
      <c r="D88" s="44" t="s">
        <v>459</v>
      </c>
      <c r="E88" s="44" t="s">
        <v>453</v>
      </c>
      <c r="F88" s="44" t="s">
        <v>460</v>
      </c>
      <c r="G88" s="44" t="s">
        <v>252</v>
      </c>
      <c r="H88" s="44" t="s">
        <v>461</v>
      </c>
      <c r="I88" s="45" t="s">
        <v>462</v>
      </c>
      <c r="J88" s="44">
        <v>274.3</v>
      </c>
      <c r="K88" s="44" t="s">
        <v>463</v>
      </c>
      <c r="L88" s="46">
        <f>14.5*J88*1.2*(1+0.1+1.1)*0.2</f>
        <v>2100.0408000000002</v>
      </c>
    </row>
    <row r="89" spans="1:12" ht="78" x14ac:dyDescent="0.3">
      <c r="A89" s="42">
        <f>A88+1</f>
        <v>53</v>
      </c>
      <c r="B89" s="51" t="s">
        <v>464</v>
      </c>
      <c r="C89" s="51">
        <v>45310</v>
      </c>
      <c r="D89" s="44" t="s">
        <v>465</v>
      </c>
      <c r="E89" s="44" t="s">
        <v>453</v>
      </c>
      <c r="F89" s="44" t="s">
        <v>466</v>
      </c>
      <c r="G89" s="44" t="s">
        <v>467</v>
      </c>
      <c r="H89" s="44" t="s">
        <v>468</v>
      </c>
      <c r="I89" s="45" t="s">
        <v>469</v>
      </c>
      <c r="J89" s="44">
        <v>18.8</v>
      </c>
      <c r="K89" s="44" t="s">
        <v>470</v>
      </c>
      <c r="L89" s="46">
        <f>14.5*J89*1*(1+0.5+0.7)*1.2</f>
        <v>719.6640000000001</v>
      </c>
    </row>
    <row r="90" spans="1:12" ht="78" x14ac:dyDescent="0.3">
      <c r="A90" s="73">
        <f>A89+1</f>
        <v>54</v>
      </c>
      <c r="B90" s="62" t="s">
        <v>471</v>
      </c>
      <c r="C90" s="62">
        <v>45323</v>
      </c>
      <c r="D90" s="58" t="s">
        <v>472</v>
      </c>
      <c r="E90" s="58" t="s">
        <v>453</v>
      </c>
      <c r="F90" s="58" t="s">
        <v>473</v>
      </c>
      <c r="G90" s="58" t="s">
        <v>474</v>
      </c>
      <c r="H90" s="58" t="s">
        <v>475</v>
      </c>
      <c r="I90" s="59" t="s">
        <v>476</v>
      </c>
      <c r="J90" s="60">
        <v>20.100000000000001</v>
      </c>
      <c r="K90" s="58" t="s">
        <v>477</v>
      </c>
      <c r="L90" s="61">
        <f>14.5*J90*1*(1+1.2+0.7)*0.8</f>
        <v>676.16400000000021</v>
      </c>
    </row>
    <row r="91" spans="1:12" ht="140.4" x14ac:dyDescent="0.3">
      <c r="A91" s="81">
        <f t="shared" ref="A91:A99" si="4">A90+1</f>
        <v>55</v>
      </c>
      <c r="B91" s="82" t="s">
        <v>478</v>
      </c>
      <c r="C91" s="82">
        <v>44561</v>
      </c>
      <c r="D91" s="83" t="s">
        <v>479</v>
      </c>
      <c r="E91" s="83" t="s">
        <v>480</v>
      </c>
      <c r="F91" s="83" t="s">
        <v>481</v>
      </c>
      <c r="G91" s="83" t="s">
        <v>482</v>
      </c>
      <c r="H91" s="83" t="s">
        <v>483</v>
      </c>
      <c r="I91" s="84" t="s">
        <v>484</v>
      </c>
      <c r="J91" s="85">
        <v>971.7</v>
      </c>
      <c r="K91" s="83" t="s">
        <v>485</v>
      </c>
      <c r="L91" s="46">
        <f>(14.5*906.1*1.1*(1+1.2+1.1)*0.1)+(14.5*65.6*1.1*(1+0.1+1.1)*0.1)</f>
        <v>4999.4477500000021</v>
      </c>
    </row>
    <row r="92" spans="1:12" ht="140.4" x14ac:dyDescent="0.3">
      <c r="A92" s="100">
        <f t="shared" si="4"/>
        <v>56</v>
      </c>
      <c r="B92" s="101">
        <v>44271</v>
      </c>
      <c r="C92" s="101" t="s">
        <v>486</v>
      </c>
      <c r="D92" s="88" t="s">
        <v>487</v>
      </c>
      <c r="E92" s="88" t="s">
        <v>488</v>
      </c>
      <c r="F92" s="88" t="s">
        <v>489</v>
      </c>
      <c r="G92" s="88" t="s">
        <v>490</v>
      </c>
      <c r="H92" s="88" t="s">
        <v>491</v>
      </c>
      <c r="I92" s="89" t="s">
        <v>492</v>
      </c>
      <c r="J92" s="90">
        <v>11.6</v>
      </c>
      <c r="K92" s="88" t="s">
        <v>493</v>
      </c>
      <c r="L92" s="91">
        <f>14.5*J92*1*(1+0.5+1.1)*1.2*12/1987*4</f>
        <v>12.67721791645697</v>
      </c>
    </row>
    <row r="93" spans="1:12" ht="140.4" x14ac:dyDescent="0.3">
      <c r="A93" s="100">
        <f t="shared" si="4"/>
        <v>57</v>
      </c>
      <c r="B93" s="68">
        <v>44277</v>
      </c>
      <c r="C93" s="101" t="s">
        <v>486</v>
      </c>
      <c r="D93" s="55" t="s">
        <v>494</v>
      </c>
      <c r="E93" s="88" t="s">
        <v>488</v>
      </c>
      <c r="F93" s="88" t="s">
        <v>495</v>
      </c>
      <c r="G93" s="88" t="s">
        <v>490</v>
      </c>
      <c r="H93" s="88" t="s">
        <v>496</v>
      </c>
      <c r="I93" s="56" t="s">
        <v>497</v>
      </c>
      <c r="J93" s="55">
        <v>17.399999999999999</v>
      </c>
      <c r="K93" s="102" t="s">
        <v>498</v>
      </c>
      <c r="L93" s="91">
        <f>14.5*J93*1*(1+1.2+0.5)*1.2*12/1987*8</f>
        <v>39.494409662808252</v>
      </c>
    </row>
    <row r="94" spans="1:12" ht="93.6" x14ac:dyDescent="0.3">
      <c r="A94" s="42">
        <f t="shared" si="4"/>
        <v>58</v>
      </c>
      <c r="B94" s="51">
        <v>44329</v>
      </c>
      <c r="C94" s="51">
        <v>45424</v>
      </c>
      <c r="D94" s="44" t="s">
        <v>499</v>
      </c>
      <c r="E94" s="87" t="s">
        <v>500</v>
      </c>
      <c r="F94" s="87" t="s">
        <v>501</v>
      </c>
      <c r="G94" s="87" t="s">
        <v>490</v>
      </c>
      <c r="H94" s="87" t="s">
        <v>502</v>
      </c>
      <c r="I94" s="45" t="s">
        <v>503</v>
      </c>
      <c r="J94" s="44">
        <v>265.60000000000002</v>
      </c>
      <c r="K94" s="103" t="s">
        <v>504</v>
      </c>
      <c r="L94" s="104">
        <f>14.5*J94*1.2*(1+0.1+1.1)*0.2</f>
        <v>2033.4336000000003</v>
      </c>
    </row>
    <row r="95" spans="1:12" ht="140.4" x14ac:dyDescent="0.3">
      <c r="A95" s="100">
        <f t="shared" si="4"/>
        <v>59</v>
      </c>
      <c r="B95" s="101">
        <v>44343</v>
      </c>
      <c r="C95" s="101" t="s">
        <v>486</v>
      </c>
      <c r="D95" s="55" t="s">
        <v>505</v>
      </c>
      <c r="E95" s="88" t="s">
        <v>488</v>
      </c>
      <c r="F95" s="88" t="s">
        <v>506</v>
      </c>
      <c r="G95" s="88" t="s">
        <v>490</v>
      </c>
      <c r="H95" s="88" t="s">
        <v>507</v>
      </c>
      <c r="I95" s="105" t="s">
        <v>508</v>
      </c>
      <c r="J95" s="90">
        <v>18.8</v>
      </c>
      <c r="K95" s="88" t="s">
        <v>509</v>
      </c>
      <c r="L95" s="91">
        <f>14.5*J95*1*(1+0.1+0.5)*1.2*12/1987*4</f>
        <v>12.643591343734274</v>
      </c>
    </row>
    <row r="96" spans="1:12" ht="140.4" x14ac:dyDescent="0.3">
      <c r="A96" s="100">
        <f t="shared" si="4"/>
        <v>60</v>
      </c>
      <c r="B96" s="106">
        <v>44368</v>
      </c>
      <c r="C96" s="101" t="s">
        <v>486</v>
      </c>
      <c r="D96" s="107" t="s">
        <v>510</v>
      </c>
      <c r="E96" s="88" t="s">
        <v>488</v>
      </c>
      <c r="F96" s="88" t="s">
        <v>511</v>
      </c>
      <c r="G96" s="88" t="s">
        <v>490</v>
      </c>
      <c r="H96" s="88" t="s">
        <v>512</v>
      </c>
      <c r="I96" s="108" t="s">
        <v>513</v>
      </c>
      <c r="J96" s="90">
        <v>77.7</v>
      </c>
      <c r="K96" s="109" t="s">
        <v>514</v>
      </c>
      <c r="L96" s="91">
        <f>14.5*J96*1*(1+0.5+0.5)*1.2*12/1987*2</f>
        <v>32.659808756919979</v>
      </c>
    </row>
    <row r="97" spans="1:12" ht="187.2" x14ac:dyDescent="0.3">
      <c r="A97" s="73">
        <f t="shared" si="4"/>
        <v>61</v>
      </c>
      <c r="B97" s="64">
        <v>44354</v>
      </c>
      <c r="C97" s="64">
        <v>45449</v>
      </c>
      <c r="D97" s="63" t="s">
        <v>515</v>
      </c>
      <c r="E97" s="63" t="s">
        <v>193</v>
      </c>
      <c r="F97" s="63" t="s">
        <v>516</v>
      </c>
      <c r="G97" s="63" t="s">
        <v>264</v>
      </c>
      <c r="H97" s="63" t="s">
        <v>366</v>
      </c>
      <c r="I97" s="65" t="s">
        <v>517</v>
      </c>
      <c r="J97" s="63">
        <v>65</v>
      </c>
      <c r="K97" s="63" t="s">
        <v>518</v>
      </c>
      <c r="L97" s="61">
        <f>14.5*J97*1*(1+0.1+0.9)*0.2</f>
        <v>377</v>
      </c>
    </row>
    <row r="98" spans="1:12" ht="93.6" x14ac:dyDescent="0.3">
      <c r="A98" s="73">
        <f t="shared" si="4"/>
        <v>62</v>
      </c>
      <c r="B98" s="62">
        <v>44363</v>
      </c>
      <c r="C98" s="62">
        <v>46188</v>
      </c>
      <c r="D98" s="58" t="s">
        <v>519</v>
      </c>
      <c r="E98" s="63" t="s">
        <v>193</v>
      </c>
      <c r="F98" s="58" t="s">
        <v>520</v>
      </c>
      <c r="G98" s="58" t="s">
        <v>217</v>
      </c>
      <c r="H98" s="58" t="s">
        <v>521</v>
      </c>
      <c r="I98" s="59" t="s">
        <v>522</v>
      </c>
      <c r="J98" s="60">
        <v>103.1</v>
      </c>
      <c r="K98" s="58" t="s">
        <v>523</v>
      </c>
      <c r="L98" s="46">
        <f>14.5*J98*1.2*(1+1.2+0.9)*1.2</f>
        <v>6673.4567999999999</v>
      </c>
    </row>
    <row r="99" spans="1:12" ht="124.8" x14ac:dyDescent="0.3">
      <c r="A99" s="100">
        <f t="shared" si="4"/>
        <v>63</v>
      </c>
      <c r="B99" s="101">
        <v>44363</v>
      </c>
      <c r="C99" s="101">
        <v>46188</v>
      </c>
      <c r="D99" s="88" t="s">
        <v>524</v>
      </c>
      <c r="E99" s="88" t="s">
        <v>525</v>
      </c>
      <c r="F99" s="88" t="s">
        <v>526</v>
      </c>
      <c r="G99" s="88" t="s">
        <v>527</v>
      </c>
      <c r="H99" s="88" t="s">
        <v>528</v>
      </c>
      <c r="I99" s="89" t="s">
        <v>529</v>
      </c>
      <c r="J99" s="90"/>
      <c r="K99" s="88" t="s">
        <v>530</v>
      </c>
      <c r="L99" s="46">
        <f>14.5*J99*1.2*(1+0.1+0)*0.6</f>
        <v>0</v>
      </c>
    </row>
    <row r="100" spans="1:12" ht="78" x14ac:dyDescent="0.3">
      <c r="A100" s="379">
        <f>A99+1</f>
        <v>64</v>
      </c>
      <c r="B100" s="347">
        <v>44407</v>
      </c>
      <c r="C100" s="346" t="s">
        <v>531</v>
      </c>
      <c r="D100" s="346" t="s">
        <v>532</v>
      </c>
      <c r="E100" s="346" t="s">
        <v>533</v>
      </c>
      <c r="F100" s="346" t="s">
        <v>141</v>
      </c>
      <c r="G100" s="346" t="s">
        <v>102</v>
      </c>
      <c r="H100" s="93" t="s">
        <v>534</v>
      </c>
      <c r="I100" s="110" t="s">
        <v>535</v>
      </c>
      <c r="J100" s="111">
        <v>1</v>
      </c>
      <c r="K100" s="376" t="s">
        <v>536</v>
      </c>
      <c r="L100" s="46">
        <f>14.5*J100*1.2*(1+1.2+0.3)*0.6</f>
        <v>26.099999999999998</v>
      </c>
    </row>
    <row r="101" spans="1:12" ht="62.4" x14ac:dyDescent="0.3">
      <c r="A101" s="375"/>
      <c r="B101" s="375"/>
      <c r="C101" s="375"/>
      <c r="D101" s="375"/>
      <c r="E101" s="375"/>
      <c r="F101" s="375"/>
      <c r="G101" s="375"/>
      <c r="H101" s="93" t="s">
        <v>537</v>
      </c>
      <c r="I101" s="110" t="s">
        <v>535</v>
      </c>
      <c r="J101" s="111">
        <v>1</v>
      </c>
      <c r="K101" s="375"/>
      <c r="L101" s="46">
        <f>14.5*J101*1.1*(1+1.2+0.3)*0.6</f>
        <v>23.925000000000001</v>
      </c>
    </row>
    <row r="102" spans="1:12" ht="93.6" x14ac:dyDescent="0.3">
      <c r="A102" s="44">
        <f>A100+1</f>
        <v>65</v>
      </c>
      <c r="B102" s="43">
        <v>44428</v>
      </c>
      <c r="C102" s="43">
        <v>46253</v>
      </c>
      <c r="D102" s="87" t="s">
        <v>538</v>
      </c>
      <c r="E102" s="44" t="s">
        <v>539</v>
      </c>
      <c r="F102" s="87" t="s">
        <v>540</v>
      </c>
      <c r="G102" s="87" t="s">
        <v>217</v>
      </c>
      <c r="H102" s="87" t="s">
        <v>541</v>
      </c>
      <c r="I102" s="94" t="s">
        <v>542</v>
      </c>
      <c r="J102" s="95">
        <v>225.6</v>
      </c>
      <c r="K102" s="87" t="s">
        <v>543</v>
      </c>
      <c r="L102" s="46">
        <f>14.5*J102*1*(1+0.1+1.1)*0.2</f>
        <v>1439.3280000000002</v>
      </c>
    </row>
    <row r="103" spans="1:12" ht="171.6" x14ac:dyDescent="0.3">
      <c r="A103" s="44">
        <f>A102+1</f>
        <v>66</v>
      </c>
      <c r="B103" s="51">
        <v>44428</v>
      </c>
      <c r="C103" s="51">
        <v>46253</v>
      </c>
      <c r="D103" s="44" t="s">
        <v>544</v>
      </c>
      <c r="E103" s="44" t="s">
        <v>539</v>
      </c>
      <c r="F103" s="44" t="s">
        <v>545</v>
      </c>
      <c r="G103" s="44" t="s">
        <v>264</v>
      </c>
      <c r="H103" s="44" t="s">
        <v>546</v>
      </c>
      <c r="I103" s="45" t="s">
        <v>547</v>
      </c>
      <c r="J103" s="44">
        <v>52.3</v>
      </c>
      <c r="K103" s="44" t="s">
        <v>548</v>
      </c>
      <c r="L103" s="46">
        <f>14.5*J103*1.2*(1+1.2+0.9)*1.2</f>
        <v>3385.2743999999998</v>
      </c>
    </row>
    <row r="104" spans="1:12" ht="171.6" x14ac:dyDescent="0.3">
      <c r="A104" s="55">
        <f>A103+1</f>
        <v>67</v>
      </c>
      <c r="B104" s="68">
        <v>46597</v>
      </c>
      <c r="C104" s="68">
        <v>44621</v>
      </c>
      <c r="D104" s="55" t="s">
        <v>549</v>
      </c>
      <c r="E104" s="55" t="s">
        <v>539</v>
      </c>
      <c r="F104" s="55" t="s">
        <v>550</v>
      </c>
      <c r="G104" s="55" t="s">
        <v>264</v>
      </c>
      <c r="H104" s="55" t="s">
        <v>551</v>
      </c>
      <c r="I104" s="56" t="s">
        <v>552</v>
      </c>
      <c r="J104" s="55">
        <v>63.5</v>
      </c>
      <c r="K104" s="55" t="s">
        <v>553</v>
      </c>
      <c r="L104" s="46">
        <f>14.5*J104*1.2*(1+1.2*0.9)*1.2</f>
        <v>2757.8303999999998</v>
      </c>
    </row>
    <row r="105" spans="1:12" ht="78" x14ac:dyDescent="0.3">
      <c r="A105" s="44">
        <f>A104+1</f>
        <v>68</v>
      </c>
      <c r="B105" s="51">
        <v>44448</v>
      </c>
      <c r="C105" s="51">
        <v>45543</v>
      </c>
      <c r="D105" s="44" t="s">
        <v>554</v>
      </c>
      <c r="E105" s="44" t="s">
        <v>555</v>
      </c>
      <c r="F105" s="44" t="s">
        <v>556</v>
      </c>
      <c r="G105" s="44" t="s">
        <v>264</v>
      </c>
      <c r="H105" s="44" t="s">
        <v>557</v>
      </c>
      <c r="I105" s="45" t="s">
        <v>558</v>
      </c>
      <c r="J105" s="44">
        <v>17.3</v>
      </c>
      <c r="K105" s="44" t="s">
        <v>559</v>
      </c>
      <c r="L105" s="46">
        <f>14.5*J105*1.2*(1+1.2+0.9)*1.2</f>
        <v>1119.7944000000002</v>
      </c>
    </row>
    <row r="106" spans="1:12" ht="124.8" x14ac:dyDescent="0.3">
      <c r="A106" s="373">
        <f>A105+1</f>
        <v>69</v>
      </c>
      <c r="B106" s="377">
        <v>44503</v>
      </c>
      <c r="C106" s="378">
        <v>45599</v>
      </c>
      <c r="D106" s="373" t="s">
        <v>560</v>
      </c>
      <c r="E106" s="373" t="s">
        <v>555</v>
      </c>
      <c r="F106" s="373" t="s">
        <v>376</v>
      </c>
      <c r="G106" s="373" t="s">
        <v>102</v>
      </c>
      <c r="H106" s="44" t="s">
        <v>561</v>
      </c>
      <c r="I106" s="45" t="s">
        <v>562</v>
      </c>
      <c r="J106" s="44">
        <v>10.199999999999999</v>
      </c>
      <c r="K106" s="44" t="s">
        <v>563</v>
      </c>
      <c r="L106" s="46">
        <f>14.5*J106*1*(1+0.3+0.9)*1.2*12/1987*24</f>
        <v>56.593521892299947</v>
      </c>
    </row>
    <row r="107" spans="1:12" ht="156" x14ac:dyDescent="0.3">
      <c r="A107" s="279"/>
      <c r="B107" s="289"/>
      <c r="C107" s="279"/>
      <c r="D107" s="279"/>
      <c r="E107" s="279"/>
      <c r="F107" s="279"/>
      <c r="G107" s="279"/>
      <c r="H107" s="44" t="s">
        <v>455</v>
      </c>
      <c r="I107" s="45" t="s">
        <v>564</v>
      </c>
      <c r="J107" s="44">
        <v>32.200000000000003</v>
      </c>
      <c r="K107" s="44" t="s">
        <v>565</v>
      </c>
      <c r="L107" s="46">
        <f>14.5*J107*1*(1+0.1+0.9)*1.2*12/1987*24</f>
        <v>162.41634625062909</v>
      </c>
    </row>
    <row r="108" spans="1:12" ht="78" x14ac:dyDescent="0.3">
      <c r="A108" s="87">
        <f>A106+1</f>
        <v>70</v>
      </c>
      <c r="B108" s="51">
        <v>44463</v>
      </c>
      <c r="C108" s="51">
        <v>45192</v>
      </c>
      <c r="D108" s="44" t="s">
        <v>566</v>
      </c>
      <c r="E108" s="44" t="s">
        <v>555</v>
      </c>
      <c r="F108" s="97" t="s">
        <v>567</v>
      </c>
      <c r="G108" s="44" t="s">
        <v>102</v>
      </c>
      <c r="H108" s="44" t="s">
        <v>568</v>
      </c>
      <c r="I108" s="45" t="s">
        <v>569</v>
      </c>
      <c r="J108" s="44">
        <v>28.8</v>
      </c>
      <c r="K108" s="44" t="s">
        <v>570</v>
      </c>
      <c r="L108" s="46">
        <f>14.5*J108*1.1*(1+0.5+0.9)*1.2</f>
        <v>1322.9568000000002</v>
      </c>
    </row>
    <row r="109" spans="1:12" ht="124.8" x14ac:dyDescent="0.3">
      <c r="A109" s="42">
        <f>A108+1</f>
        <v>71</v>
      </c>
      <c r="B109" s="51">
        <v>44497</v>
      </c>
      <c r="C109" s="51">
        <v>45592</v>
      </c>
      <c r="D109" s="44" t="s">
        <v>571</v>
      </c>
      <c r="E109" s="44" t="s">
        <v>572</v>
      </c>
      <c r="F109" s="44" t="s">
        <v>573</v>
      </c>
      <c r="G109" s="44" t="s">
        <v>264</v>
      </c>
      <c r="H109" s="44" t="s">
        <v>377</v>
      </c>
      <c r="I109" s="45" t="s">
        <v>378</v>
      </c>
      <c r="J109" s="44">
        <v>12.7</v>
      </c>
      <c r="K109" s="44" t="s">
        <v>574</v>
      </c>
      <c r="L109" s="46">
        <f>14.5*J109*1.2*(1+1.2+0.5)*1.2*12/1981*16</f>
        <v>69.39285128722868</v>
      </c>
    </row>
    <row r="110" spans="1:12" ht="156" x14ac:dyDescent="0.3">
      <c r="A110" s="70">
        <f>A109+1</f>
        <v>72</v>
      </c>
      <c r="B110" s="53">
        <v>44497</v>
      </c>
      <c r="C110" s="53">
        <v>45592</v>
      </c>
      <c r="D110" s="52" t="s">
        <v>575</v>
      </c>
      <c r="E110" s="52" t="s">
        <v>572</v>
      </c>
      <c r="F110" s="112" t="s">
        <v>576</v>
      </c>
      <c r="G110" s="52" t="s">
        <v>264</v>
      </c>
      <c r="H110" s="52" t="s">
        <v>577</v>
      </c>
      <c r="I110" s="54" t="s">
        <v>578</v>
      </c>
      <c r="J110" s="52">
        <f>108.8+200.4</f>
        <v>309.2</v>
      </c>
      <c r="K110" s="113" t="s">
        <v>579</v>
      </c>
      <c r="L110" s="46">
        <f>(14.5*108.8*1.1*(1+0.1+0.9)*0.1)+(14.5*200.4*1.1*(1+1.2+0.9)*0.1)</f>
        <v>1337.9498000000003</v>
      </c>
    </row>
    <row r="111" spans="1:12" ht="109.2" x14ac:dyDescent="0.3">
      <c r="A111" s="86">
        <f>A110+1</f>
        <v>73</v>
      </c>
      <c r="B111" s="51">
        <v>44546</v>
      </c>
      <c r="C111" s="69">
        <v>45641</v>
      </c>
      <c r="D111" s="44" t="s">
        <v>580</v>
      </c>
      <c r="E111" s="44" t="s">
        <v>581</v>
      </c>
      <c r="F111" s="44" t="s">
        <v>582</v>
      </c>
      <c r="G111" s="114" t="s">
        <v>264</v>
      </c>
      <c r="H111" s="114" t="s">
        <v>583</v>
      </c>
      <c r="I111" s="45" t="s">
        <v>584</v>
      </c>
      <c r="J111" s="44">
        <v>60</v>
      </c>
      <c r="K111" s="44" t="s">
        <v>585</v>
      </c>
      <c r="L111" s="46">
        <f>14.5*J111*1.2*(1+0.1+0.9)*1.2</f>
        <v>2505.6</v>
      </c>
    </row>
    <row r="112" spans="1:12" ht="124.8" x14ac:dyDescent="0.3">
      <c r="A112" s="361">
        <f>A111+1</f>
        <v>74</v>
      </c>
      <c r="B112" s="360">
        <v>44523</v>
      </c>
      <c r="C112" s="360">
        <v>46348</v>
      </c>
      <c r="D112" s="350" t="s">
        <v>586</v>
      </c>
      <c r="E112" s="350" t="s">
        <v>587</v>
      </c>
      <c r="F112" s="350" t="s">
        <v>588</v>
      </c>
      <c r="G112" s="350" t="s">
        <v>102</v>
      </c>
      <c r="H112" s="55" t="s">
        <v>589</v>
      </c>
      <c r="I112" s="56" t="s">
        <v>590</v>
      </c>
      <c r="J112" s="55">
        <v>11.6</v>
      </c>
      <c r="K112" s="350" t="s">
        <v>591</v>
      </c>
      <c r="L112" s="46">
        <f>14.5*J112*1.2*(1+1.2+0.3)*0.6</f>
        <v>302.75999999999993</v>
      </c>
    </row>
    <row r="113" spans="1:12" ht="78" x14ac:dyDescent="0.3">
      <c r="A113" s="278"/>
      <c r="B113" s="288"/>
      <c r="C113" s="288"/>
      <c r="D113" s="278"/>
      <c r="E113" s="278"/>
      <c r="F113" s="278"/>
      <c r="G113" s="278"/>
      <c r="H113" s="55" t="s">
        <v>592</v>
      </c>
      <c r="I113" s="56" t="s">
        <v>593</v>
      </c>
      <c r="J113" s="55">
        <v>5.9</v>
      </c>
      <c r="K113" s="278"/>
      <c r="L113" s="46">
        <f>14.5*J113*1*(1+1.2+0.3)*0.6</f>
        <v>128.32500000000002</v>
      </c>
    </row>
    <row r="114" spans="1:12" ht="78" x14ac:dyDescent="0.3">
      <c r="A114" s="278"/>
      <c r="B114" s="288"/>
      <c r="C114" s="288"/>
      <c r="D114" s="278"/>
      <c r="E114" s="278"/>
      <c r="F114" s="278"/>
      <c r="G114" s="278"/>
      <c r="H114" s="55" t="s">
        <v>594</v>
      </c>
      <c r="I114" s="56" t="s">
        <v>595</v>
      </c>
      <c r="J114" s="55">
        <v>27.1</v>
      </c>
      <c r="K114" s="278"/>
      <c r="L114" s="46">
        <f>14.5*J114*1.2*(1+1.2+0.3)*0.6</f>
        <v>707.31000000000006</v>
      </c>
    </row>
    <row r="115" spans="1:12" ht="78" x14ac:dyDescent="0.3">
      <c r="A115" s="278"/>
      <c r="B115" s="288"/>
      <c r="C115" s="288"/>
      <c r="D115" s="278"/>
      <c r="E115" s="278"/>
      <c r="F115" s="278"/>
      <c r="G115" s="278"/>
      <c r="H115" s="55" t="s">
        <v>596</v>
      </c>
      <c r="I115" s="56" t="s">
        <v>597</v>
      </c>
      <c r="J115" s="55">
        <v>24.3</v>
      </c>
      <c r="K115" s="278"/>
      <c r="L115" s="46">
        <f>14.5*J115*1.2*(1+1.2+0.3)*0.6</f>
        <v>634.2299999999999</v>
      </c>
    </row>
    <row r="116" spans="1:12" ht="93.6" x14ac:dyDescent="0.3">
      <c r="A116" s="279"/>
      <c r="B116" s="289"/>
      <c r="C116" s="289"/>
      <c r="D116" s="279"/>
      <c r="E116" s="279"/>
      <c r="F116" s="279"/>
      <c r="G116" s="279"/>
      <c r="H116" s="55" t="s">
        <v>598</v>
      </c>
      <c r="I116" s="56" t="s">
        <v>599</v>
      </c>
      <c r="J116" s="100">
        <v>18.899999999999999</v>
      </c>
      <c r="K116" s="279"/>
      <c r="L116" s="46">
        <f>14.5*J116*1.2*(1+1.2+0.3)*0.6</f>
        <v>493.28999999999991</v>
      </c>
    </row>
    <row r="117" spans="1:12" ht="17.399999999999999" x14ac:dyDescent="0.3">
      <c r="A117" s="386" t="s">
        <v>600</v>
      </c>
      <c r="B117" s="387"/>
      <c r="C117" s="387"/>
      <c r="D117" s="387"/>
      <c r="E117" s="387"/>
      <c r="F117" s="387"/>
      <c r="G117" s="387"/>
      <c r="H117" s="387"/>
      <c r="I117" s="387"/>
      <c r="J117" s="387"/>
      <c r="K117" s="388"/>
      <c r="L117" s="115"/>
    </row>
    <row r="118" spans="1:12" ht="78" x14ac:dyDescent="0.3">
      <c r="A118" s="55">
        <f>A112+1</f>
        <v>75</v>
      </c>
      <c r="B118" s="68">
        <v>43238</v>
      </c>
      <c r="C118" s="68">
        <v>45063</v>
      </c>
      <c r="D118" s="55" t="s">
        <v>601</v>
      </c>
      <c r="E118" s="55" t="s">
        <v>167</v>
      </c>
      <c r="F118" s="55" t="s">
        <v>168</v>
      </c>
      <c r="G118" s="55" t="s">
        <v>602</v>
      </c>
      <c r="H118" s="55" t="s">
        <v>603</v>
      </c>
      <c r="I118" s="56" t="s">
        <v>604</v>
      </c>
      <c r="J118" s="55">
        <v>33.299999999999997</v>
      </c>
      <c r="K118" s="55" t="s">
        <v>605</v>
      </c>
      <c r="L118" s="46">
        <f>14.5*J118*1.1*(1+1.2*1.1)*1.2</f>
        <v>1478.67984</v>
      </c>
    </row>
    <row r="119" spans="1:12" ht="17.399999999999999" x14ac:dyDescent="0.3">
      <c r="A119" s="386" t="s">
        <v>606</v>
      </c>
      <c r="B119" s="387"/>
      <c r="C119" s="387"/>
      <c r="D119" s="387"/>
      <c r="E119" s="387"/>
      <c r="F119" s="387"/>
      <c r="G119" s="387"/>
      <c r="H119" s="387"/>
      <c r="I119" s="387"/>
      <c r="J119" s="387"/>
      <c r="K119" s="387"/>
      <c r="L119" s="388"/>
    </row>
    <row r="120" spans="1:12" ht="140.4" x14ac:dyDescent="0.3">
      <c r="A120" s="55">
        <f>A118+1</f>
        <v>76</v>
      </c>
      <c r="B120" s="68">
        <v>44393</v>
      </c>
      <c r="C120" s="101" t="s">
        <v>486</v>
      </c>
      <c r="D120" s="55" t="s">
        <v>607</v>
      </c>
      <c r="E120" s="55" t="s">
        <v>608</v>
      </c>
      <c r="F120" s="55" t="s">
        <v>609</v>
      </c>
      <c r="G120" s="55" t="s">
        <v>606</v>
      </c>
      <c r="H120" s="55" t="s">
        <v>610</v>
      </c>
      <c r="I120" s="56" t="s">
        <v>611</v>
      </c>
      <c r="J120" s="55">
        <v>24.5</v>
      </c>
      <c r="K120" s="55" t="s">
        <v>612</v>
      </c>
      <c r="L120" s="91">
        <f>14.5*J120*1*(1+1.2+0.9)*1.2</f>
        <v>1321.53</v>
      </c>
    </row>
    <row r="121" spans="1:12" ht="140.4" x14ac:dyDescent="0.3">
      <c r="A121" s="55">
        <f>A120+1</f>
        <v>77</v>
      </c>
      <c r="B121" s="68">
        <v>44399</v>
      </c>
      <c r="C121" s="101" t="s">
        <v>486</v>
      </c>
      <c r="D121" s="55" t="s">
        <v>613</v>
      </c>
      <c r="E121" s="88" t="s">
        <v>488</v>
      </c>
      <c r="F121" s="55" t="s">
        <v>614</v>
      </c>
      <c r="G121" s="55" t="s">
        <v>606</v>
      </c>
      <c r="H121" s="55" t="s">
        <v>610</v>
      </c>
      <c r="I121" s="56" t="s">
        <v>615</v>
      </c>
      <c r="J121" s="55">
        <v>17</v>
      </c>
      <c r="K121" s="55" t="s">
        <v>616</v>
      </c>
      <c r="L121" s="116">
        <f>14.5*J121*1*(1+1.2+0.9)*1.2*12/1981*2</f>
        <v>11.109298334174659</v>
      </c>
    </row>
    <row r="122" spans="1:12" ht="17.399999999999999" x14ac:dyDescent="0.3">
      <c r="A122" s="382" t="s">
        <v>294</v>
      </c>
      <c r="B122" s="383"/>
      <c r="C122" s="383"/>
      <c r="D122" s="383"/>
      <c r="E122" s="383"/>
      <c r="F122" s="383"/>
      <c r="G122" s="383"/>
      <c r="H122" s="383"/>
      <c r="I122" s="383"/>
      <c r="J122" s="383"/>
      <c r="K122" s="383"/>
      <c r="L122" s="384"/>
    </row>
    <row r="123" spans="1:12" ht="124.8" x14ac:dyDescent="0.3">
      <c r="A123" s="55">
        <f>A121+1</f>
        <v>78</v>
      </c>
      <c r="B123" s="117">
        <v>43258</v>
      </c>
      <c r="C123" s="68">
        <v>45083</v>
      </c>
      <c r="D123" s="55" t="s">
        <v>617</v>
      </c>
      <c r="E123" s="55" t="s">
        <v>241</v>
      </c>
      <c r="F123" s="55" t="s">
        <v>618</v>
      </c>
      <c r="G123" s="55" t="s">
        <v>619</v>
      </c>
      <c r="H123" s="55" t="s">
        <v>620</v>
      </c>
      <c r="I123" s="56" t="s">
        <v>621</v>
      </c>
      <c r="J123" s="118">
        <v>1612.1</v>
      </c>
      <c r="K123" s="55" t="s">
        <v>116</v>
      </c>
      <c r="L123" s="46">
        <f>14.5*J123*1.2*(1+1.2+0.9)*1.2</f>
        <v>104348.0088</v>
      </c>
    </row>
    <row r="124" spans="1:12" ht="156" x14ac:dyDescent="0.3">
      <c r="A124" s="55">
        <f t="shared" ref="A124:A129" si="5">A123+1</f>
        <v>79</v>
      </c>
      <c r="B124" s="101">
        <v>43657</v>
      </c>
      <c r="C124" s="101">
        <v>45483</v>
      </c>
      <c r="D124" s="88" t="s">
        <v>622</v>
      </c>
      <c r="E124" s="88" t="s">
        <v>304</v>
      </c>
      <c r="F124" s="88" t="s">
        <v>305</v>
      </c>
      <c r="G124" s="88" t="s">
        <v>619</v>
      </c>
      <c r="H124" s="88" t="s">
        <v>623</v>
      </c>
      <c r="I124" s="89" t="s">
        <v>624</v>
      </c>
      <c r="J124" s="119">
        <v>432.2</v>
      </c>
      <c r="K124" s="88" t="s">
        <v>625</v>
      </c>
      <c r="L124" s="46">
        <f>14.5*J124*1.2*(1+0.1+0.9)*1.2</f>
        <v>18048.671999999995</v>
      </c>
    </row>
    <row r="125" spans="1:12" ht="124.8" x14ac:dyDescent="0.3">
      <c r="A125" s="55">
        <f t="shared" si="5"/>
        <v>80</v>
      </c>
      <c r="B125" s="68">
        <v>43258</v>
      </c>
      <c r="C125" s="68">
        <v>45083</v>
      </c>
      <c r="D125" s="55" t="s">
        <v>617</v>
      </c>
      <c r="E125" s="55" t="s">
        <v>241</v>
      </c>
      <c r="F125" s="55" t="s">
        <v>618</v>
      </c>
      <c r="G125" s="55" t="s">
        <v>626</v>
      </c>
      <c r="H125" s="55" t="s">
        <v>627</v>
      </c>
      <c r="I125" s="120" t="s">
        <v>628</v>
      </c>
      <c r="J125" s="118">
        <v>510.4</v>
      </c>
      <c r="K125" s="55" t="s">
        <v>629</v>
      </c>
      <c r="L125" s="46">
        <f>14.5*J125*1.2*(1+1.2+0.9)*1.2</f>
        <v>33037.171199999997</v>
      </c>
    </row>
    <row r="126" spans="1:12" ht="124.8" x14ac:dyDescent="0.3">
      <c r="A126" s="55">
        <f t="shared" si="5"/>
        <v>81</v>
      </c>
      <c r="B126" s="68">
        <v>43838</v>
      </c>
      <c r="C126" s="121">
        <v>44933</v>
      </c>
      <c r="D126" s="55" t="s">
        <v>630</v>
      </c>
      <c r="E126" s="55" t="s">
        <v>385</v>
      </c>
      <c r="F126" s="55" t="s">
        <v>618</v>
      </c>
      <c r="G126" s="55" t="s">
        <v>294</v>
      </c>
      <c r="H126" s="55" t="s">
        <v>627</v>
      </c>
      <c r="I126" s="120" t="s">
        <v>631</v>
      </c>
      <c r="J126" s="122">
        <v>518.9</v>
      </c>
      <c r="K126" s="55" t="s">
        <v>629</v>
      </c>
      <c r="L126" s="46">
        <f>14.5*J126*1.2*(1+1.2+0.9)*1.2</f>
        <v>33587.359199999992</v>
      </c>
    </row>
    <row r="127" spans="1:12" ht="124.8" x14ac:dyDescent="0.3">
      <c r="A127" s="55">
        <f t="shared" si="5"/>
        <v>82</v>
      </c>
      <c r="B127" s="68">
        <v>45157</v>
      </c>
      <c r="C127" s="55" t="s">
        <v>632</v>
      </c>
      <c r="D127" s="55" t="s">
        <v>539</v>
      </c>
      <c r="E127" s="55" t="s">
        <v>633</v>
      </c>
      <c r="F127" s="55" t="s">
        <v>618</v>
      </c>
      <c r="G127" s="55" t="s">
        <v>294</v>
      </c>
      <c r="H127" s="55" t="s">
        <v>627</v>
      </c>
      <c r="I127" s="120" t="s">
        <v>634</v>
      </c>
      <c r="J127" s="118">
        <v>33.799999999999997</v>
      </c>
      <c r="K127" s="55" t="s">
        <v>635</v>
      </c>
      <c r="L127" s="46">
        <f>14.5*J127*1.2*(1+0.1+0.9)*0.6</f>
        <v>705.7439999999998</v>
      </c>
    </row>
    <row r="128" spans="1:12" ht="124.8" x14ac:dyDescent="0.3">
      <c r="A128" s="55">
        <f t="shared" si="5"/>
        <v>83</v>
      </c>
      <c r="B128" s="68">
        <v>44536</v>
      </c>
      <c r="C128" s="68">
        <v>44870</v>
      </c>
      <c r="D128" s="55" t="s">
        <v>636</v>
      </c>
      <c r="E128" s="55" t="s">
        <v>572</v>
      </c>
      <c r="F128" s="55" t="s">
        <v>618</v>
      </c>
      <c r="G128" s="55" t="s">
        <v>294</v>
      </c>
      <c r="H128" s="55" t="s">
        <v>627</v>
      </c>
      <c r="I128" s="120" t="s">
        <v>637</v>
      </c>
      <c r="J128" s="118">
        <f>21+21.7</f>
        <v>42.7</v>
      </c>
      <c r="K128" s="55" t="s">
        <v>638</v>
      </c>
      <c r="L128" s="46">
        <f>14.5*J128*1.2*(1+1+0)*0.6</f>
        <v>891.57600000000014</v>
      </c>
    </row>
    <row r="129" spans="1:12" ht="124.8" x14ac:dyDescent="0.3">
      <c r="A129" s="55">
        <f t="shared" si="5"/>
        <v>84</v>
      </c>
      <c r="B129" s="68">
        <v>44534</v>
      </c>
      <c r="C129" s="68">
        <v>45263</v>
      </c>
      <c r="D129" s="55" t="s">
        <v>639</v>
      </c>
      <c r="E129" s="55" t="s">
        <v>587</v>
      </c>
      <c r="F129" s="55" t="s">
        <v>618</v>
      </c>
      <c r="G129" s="55" t="s">
        <v>294</v>
      </c>
      <c r="H129" s="55" t="s">
        <v>640</v>
      </c>
      <c r="I129" s="56" t="s">
        <v>641</v>
      </c>
      <c r="J129" s="118">
        <v>596.29999999999995</v>
      </c>
      <c r="K129" s="55" t="s">
        <v>629</v>
      </c>
      <c r="L129" s="46">
        <f>(14.5*533.3*1.2*(1+1.2+0.9)*1.2)+(14.5*63*1.2*(1+0.1+0.3)*0.6)</f>
        <v>35440.25039999999</v>
      </c>
    </row>
    <row r="130" spans="1:12" x14ac:dyDescent="0.3">
      <c r="A130" s="382" t="s">
        <v>642</v>
      </c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123"/>
    </row>
    <row r="131" spans="1:12" ht="234" x14ac:dyDescent="0.3">
      <c r="A131" s="55">
        <f>A129+1</f>
        <v>85</v>
      </c>
      <c r="B131" s="68">
        <v>43434</v>
      </c>
      <c r="C131" s="68">
        <v>44529</v>
      </c>
      <c r="D131" s="55" t="s">
        <v>643</v>
      </c>
      <c r="E131" s="55" t="s">
        <v>644</v>
      </c>
      <c r="F131" s="55" t="s">
        <v>645</v>
      </c>
      <c r="G131" s="55" t="s">
        <v>646</v>
      </c>
      <c r="H131" s="55" t="s">
        <v>647</v>
      </c>
      <c r="I131" s="56" t="s">
        <v>648</v>
      </c>
      <c r="J131" s="118">
        <v>850.4</v>
      </c>
      <c r="K131" s="55" t="s">
        <v>116</v>
      </c>
      <c r="L131" s="46">
        <f>14.5*J131*1.2*(1+1.2+0.9)*1.2</f>
        <v>55044.691200000001</v>
      </c>
    </row>
    <row r="132" spans="1:12" ht="78" x14ac:dyDescent="0.3">
      <c r="A132" s="63">
        <f>A131+1</f>
        <v>86</v>
      </c>
      <c r="B132" s="64" t="s">
        <v>649</v>
      </c>
      <c r="C132" s="64">
        <v>46140</v>
      </c>
      <c r="D132" s="63" t="s">
        <v>650</v>
      </c>
      <c r="E132" s="63" t="s">
        <v>651</v>
      </c>
      <c r="F132" s="63" t="s">
        <v>652</v>
      </c>
      <c r="G132" s="63" t="s">
        <v>653</v>
      </c>
      <c r="H132" s="63" t="s">
        <v>654</v>
      </c>
      <c r="I132" s="65" t="s">
        <v>655</v>
      </c>
      <c r="J132" s="124">
        <v>842.7</v>
      </c>
      <c r="K132" s="63" t="s">
        <v>656</v>
      </c>
      <c r="L132" s="46">
        <f>14.5*J132*1*(1+1.2+0.9)*0.2</f>
        <v>7575.8730000000014</v>
      </c>
    </row>
    <row r="133" spans="1:12" ht="93.6" x14ac:dyDescent="0.3">
      <c r="A133" s="63">
        <f>A132+1</f>
        <v>87</v>
      </c>
      <c r="B133" s="62" t="s">
        <v>657</v>
      </c>
      <c r="C133" s="62">
        <v>46113</v>
      </c>
      <c r="D133" s="58" t="s">
        <v>658</v>
      </c>
      <c r="E133" s="63" t="s">
        <v>651</v>
      </c>
      <c r="F133" s="58" t="s">
        <v>659</v>
      </c>
      <c r="G133" s="58" t="s">
        <v>660</v>
      </c>
      <c r="H133" s="58" t="s">
        <v>661</v>
      </c>
      <c r="I133" s="59" t="s">
        <v>662</v>
      </c>
      <c r="J133" s="125">
        <v>712.6</v>
      </c>
      <c r="K133" s="58" t="s">
        <v>663</v>
      </c>
      <c r="L133" s="46">
        <f>14.5*J133*1*(1+1.2+0.9)*0.2</f>
        <v>6406.2740000000013</v>
      </c>
    </row>
    <row r="134" spans="1:12" ht="78" x14ac:dyDescent="0.3">
      <c r="A134" s="63">
        <f>A133+1</f>
        <v>88</v>
      </c>
      <c r="B134" s="126">
        <v>44497</v>
      </c>
      <c r="C134" s="126">
        <v>45592</v>
      </c>
      <c r="D134" s="127" t="s">
        <v>664</v>
      </c>
      <c r="E134" s="78" t="s">
        <v>572</v>
      </c>
      <c r="F134" s="128" t="s">
        <v>467</v>
      </c>
      <c r="G134" s="129" t="s">
        <v>665</v>
      </c>
      <c r="H134" s="75" t="s">
        <v>666</v>
      </c>
      <c r="I134" s="65" t="s">
        <v>667</v>
      </c>
      <c r="J134" s="130">
        <v>12.4</v>
      </c>
      <c r="K134" s="78" t="s">
        <v>668</v>
      </c>
      <c r="L134" s="131">
        <f>14.5*J134*1.2*(1+1.2+0.9)*0.6</f>
        <v>401.31360000000006</v>
      </c>
    </row>
    <row r="135" spans="1:12" ht="156" x14ac:dyDescent="0.3">
      <c r="A135" s="114">
        <f t="shared" ref="A135:A147" si="6">A134+1</f>
        <v>89</v>
      </c>
      <c r="B135" s="132">
        <v>43474</v>
      </c>
      <c r="C135" s="132">
        <v>44569</v>
      </c>
      <c r="D135" s="114" t="s">
        <v>669</v>
      </c>
      <c r="E135" s="114" t="s">
        <v>670</v>
      </c>
      <c r="F135" s="44" t="s">
        <v>376</v>
      </c>
      <c r="G135" s="133" t="s">
        <v>665</v>
      </c>
      <c r="H135" s="134" t="s">
        <v>671</v>
      </c>
      <c r="I135" s="135" t="s">
        <v>672</v>
      </c>
      <c r="J135" s="136">
        <v>29.5</v>
      </c>
      <c r="K135" s="114" t="s">
        <v>673</v>
      </c>
      <c r="L135" s="116">
        <f>14.5*J135*1*(1+1.2+0.9)*1.2*12/1981*16</f>
        <v>154.22320040383647</v>
      </c>
    </row>
    <row r="136" spans="1:12" ht="93.6" x14ac:dyDescent="0.3">
      <c r="A136" s="137">
        <f t="shared" si="6"/>
        <v>90</v>
      </c>
      <c r="B136" s="53" t="s">
        <v>674</v>
      </c>
      <c r="C136" s="53">
        <v>44928</v>
      </c>
      <c r="D136" s="138" t="s">
        <v>675</v>
      </c>
      <c r="E136" s="52" t="s">
        <v>676</v>
      </c>
      <c r="F136" s="72" t="s">
        <v>677</v>
      </c>
      <c r="G136" s="138" t="s">
        <v>665</v>
      </c>
      <c r="H136" s="72" t="s">
        <v>678</v>
      </c>
      <c r="I136" s="139" t="s">
        <v>679</v>
      </c>
      <c r="J136" s="140">
        <v>63</v>
      </c>
      <c r="K136" s="52" t="s">
        <v>680</v>
      </c>
      <c r="L136" s="46">
        <f>14.5*J136*1.1*(1+1+0.3)*0.6</f>
        <v>1386.693</v>
      </c>
    </row>
    <row r="137" spans="1:12" ht="124.8" x14ac:dyDescent="0.3">
      <c r="A137" s="141">
        <f t="shared" si="6"/>
        <v>91</v>
      </c>
      <c r="B137" s="142">
        <v>44497</v>
      </c>
      <c r="C137" s="142">
        <v>44466</v>
      </c>
      <c r="D137" s="48" t="s">
        <v>681</v>
      </c>
      <c r="E137" s="48" t="s">
        <v>572</v>
      </c>
      <c r="F137" s="93" t="s">
        <v>682</v>
      </c>
      <c r="G137" s="48" t="s">
        <v>683</v>
      </c>
      <c r="H137" s="93" t="s">
        <v>684</v>
      </c>
      <c r="I137" s="110" t="s">
        <v>685</v>
      </c>
      <c r="J137" s="143">
        <v>655.7</v>
      </c>
      <c r="K137" s="93" t="s">
        <v>686</v>
      </c>
      <c r="L137" s="46">
        <f>14.5*J137*1*(1+1.2+0.9)*0.1</f>
        <v>2947.3715000000007</v>
      </c>
    </row>
    <row r="138" spans="1:12" ht="124.8" x14ac:dyDescent="0.3">
      <c r="A138" s="141">
        <f t="shared" si="6"/>
        <v>92</v>
      </c>
      <c r="B138" s="62">
        <v>44054</v>
      </c>
      <c r="C138" s="62">
        <v>45148</v>
      </c>
      <c r="D138" s="63" t="s">
        <v>687</v>
      </c>
      <c r="E138" s="63" t="s">
        <v>688</v>
      </c>
      <c r="F138" s="58" t="s">
        <v>689</v>
      </c>
      <c r="G138" s="63" t="s">
        <v>683</v>
      </c>
      <c r="H138" s="380" t="s">
        <v>690</v>
      </c>
      <c r="I138" s="381"/>
      <c r="J138" s="125">
        <v>4956.8999999999996</v>
      </c>
      <c r="K138" s="58" t="s">
        <v>691</v>
      </c>
      <c r="L138" s="46">
        <f>14.5*J138*1*(1+1.2+0.9)*1.3</f>
        <v>289656.45149999997</v>
      </c>
    </row>
    <row r="139" spans="1:12" ht="140.4" x14ac:dyDescent="0.3">
      <c r="A139" s="144">
        <f t="shared" si="6"/>
        <v>93</v>
      </c>
      <c r="B139" s="101">
        <v>44281</v>
      </c>
      <c r="C139" s="101" t="s">
        <v>486</v>
      </c>
      <c r="D139" s="55" t="s">
        <v>692</v>
      </c>
      <c r="E139" s="88" t="s">
        <v>488</v>
      </c>
      <c r="F139" s="88" t="s">
        <v>693</v>
      </c>
      <c r="G139" s="55" t="s">
        <v>683</v>
      </c>
      <c r="H139" s="88" t="s">
        <v>694</v>
      </c>
      <c r="I139" s="105" t="s">
        <v>695</v>
      </c>
      <c r="J139" s="119">
        <v>28.7</v>
      </c>
      <c r="K139" s="88" t="s">
        <v>696</v>
      </c>
      <c r="L139" s="116">
        <f>14.5*J139*1*(1+1.2+0.9)*1.2*12/1981*4</f>
        <v>37.510219081272091</v>
      </c>
    </row>
    <row r="140" spans="1:12" ht="140.4" x14ac:dyDescent="0.3">
      <c r="A140" s="144">
        <f t="shared" si="6"/>
        <v>94</v>
      </c>
      <c r="B140" s="101">
        <v>44292</v>
      </c>
      <c r="C140" s="101" t="s">
        <v>486</v>
      </c>
      <c r="D140" s="55" t="s">
        <v>697</v>
      </c>
      <c r="E140" s="88" t="s">
        <v>488</v>
      </c>
      <c r="F140" s="88" t="s">
        <v>698</v>
      </c>
      <c r="G140" s="55" t="s">
        <v>683</v>
      </c>
      <c r="H140" s="88" t="s">
        <v>699</v>
      </c>
      <c r="I140" s="105" t="s">
        <v>700</v>
      </c>
      <c r="J140" s="119">
        <v>66.599999999999994</v>
      </c>
      <c r="K140" s="88" t="s">
        <v>701</v>
      </c>
      <c r="L140" s="116">
        <f>14.5*J140*1*(1+1.2+0.9)*1.2*12/1981*3</f>
        <v>65.283464916708738</v>
      </c>
    </row>
    <row r="141" spans="1:12" ht="140.4" x14ac:dyDescent="0.3">
      <c r="A141" s="144">
        <f t="shared" si="6"/>
        <v>95</v>
      </c>
      <c r="B141" s="101">
        <v>44287</v>
      </c>
      <c r="C141" s="101" t="s">
        <v>486</v>
      </c>
      <c r="D141" s="55" t="s">
        <v>702</v>
      </c>
      <c r="E141" s="88" t="s">
        <v>488</v>
      </c>
      <c r="F141" s="88" t="s">
        <v>703</v>
      </c>
      <c r="G141" s="55" t="s">
        <v>683</v>
      </c>
      <c r="H141" s="88" t="s">
        <v>704</v>
      </c>
      <c r="I141" s="105" t="s">
        <v>705</v>
      </c>
      <c r="J141" s="119">
        <v>28.7</v>
      </c>
      <c r="K141" s="88" t="s">
        <v>706</v>
      </c>
      <c r="L141" s="116">
        <f>14.5*J141/3*1*(1+1.2+0.9)*1.2*12/1981*3</f>
        <v>9.3775547703180226</v>
      </c>
    </row>
    <row r="142" spans="1:12" ht="140.4" x14ac:dyDescent="0.3">
      <c r="A142" s="144">
        <f t="shared" si="6"/>
        <v>96</v>
      </c>
      <c r="B142" s="101">
        <v>44342</v>
      </c>
      <c r="C142" s="101" t="s">
        <v>486</v>
      </c>
      <c r="D142" s="55" t="s">
        <v>707</v>
      </c>
      <c r="E142" s="88" t="s">
        <v>488</v>
      </c>
      <c r="F142" s="88" t="s">
        <v>708</v>
      </c>
      <c r="G142" s="55" t="s">
        <v>683</v>
      </c>
      <c r="H142" s="88" t="s">
        <v>704</v>
      </c>
      <c r="I142" s="105" t="s">
        <v>705</v>
      </c>
      <c r="J142" s="119">
        <v>28.7</v>
      </c>
      <c r="K142" s="88" t="s">
        <v>709</v>
      </c>
      <c r="L142" s="116">
        <f>14.5*J142/3*1*(1+1.2+0.9)*1.2*12/1981*4</f>
        <v>12.50340636042403</v>
      </c>
    </row>
    <row r="143" spans="1:12" ht="140.4" x14ac:dyDescent="0.3">
      <c r="A143" s="144">
        <f t="shared" si="6"/>
        <v>97</v>
      </c>
      <c r="B143" s="101">
        <v>44342</v>
      </c>
      <c r="C143" s="101" t="s">
        <v>486</v>
      </c>
      <c r="D143" s="55" t="s">
        <v>710</v>
      </c>
      <c r="E143" s="88" t="s">
        <v>488</v>
      </c>
      <c r="F143" s="88" t="s">
        <v>711</v>
      </c>
      <c r="G143" s="55" t="s">
        <v>683</v>
      </c>
      <c r="H143" s="88" t="s">
        <v>712</v>
      </c>
      <c r="I143" s="105" t="s">
        <v>713</v>
      </c>
      <c r="J143" s="119">
        <v>16.7</v>
      </c>
      <c r="K143" s="88" t="s">
        <v>714</v>
      </c>
      <c r="L143" s="116">
        <f>14.5*J143/3*1*(1+1.2+0.9)*1.2*12/1981*8</f>
        <v>14.551002523977788</v>
      </c>
    </row>
    <row r="144" spans="1:12" ht="140.4" x14ac:dyDescent="0.3">
      <c r="A144" s="144">
        <f t="shared" si="6"/>
        <v>98</v>
      </c>
      <c r="B144" s="101">
        <v>44342</v>
      </c>
      <c r="C144" s="101" t="s">
        <v>486</v>
      </c>
      <c r="D144" s="55" t="s">
        <v>715</v>
      </c>
      <c r="E144" s="88" t="s">
        <v>488</v>
      </c>
      <c r="F144" s="88" t="s">
        <v>716</v>
      </c>
      <c r="G144" s="55" t="s">
        <v>683</v>
      </c>
      <c r="H144" s="88" t="s">
        <v>699</v>
      </c>
      <c r="I144" s="105" t="s">
        <v>717</v>
      </c>
      <c r="J144" s="119">
        <v>66.599999999999994</v>
      </c>
      <c r="K144" s="88" t="s">
        <v>718</v>
      </c>
      <c r="L144" s="116">
        <f>14.5*J144/3*1*(1+1.2+0.9)*1.2*12/1981*1</f>
        <v>7.2537183240787471</v>
      </c>
    </row>
    <row r="145" spans="1:12" ht="140.4" x14ac:dyDescent="0.3">
      <c r="A145" s="144">
        <f t="shared" si="6"/>
        <v>99</v>
      </c>
      <c r="B145" s="101">
        <v>44342</v>
      </c>
      <c r="C145" s="101" t="s">
        <v>486</v>
      </c>
      <c r="D145" s="55" t="s">
        <v>719</v>
      </c>
      <c r="E145" s="88" t="s">
        <v>488</v>
      </c>
      <c r="F145" s="88" t="s">
        <v>720</v>
      </c>
      <c r="G145" s="55" t="s">
        <v>683</v>
      </c>
      <c r="H145" s="88" t="s">
        <v>721</v>
      </c>
      <c r="I145" s="105" t="s">
        <v>722</v>
      </c>
      <c r="J145" s="119">
        <v>15.9</v>
      </c>
      <c r="K145" s="88" t="s">
        <v>723</v>
      </c>
      <c r="L145" s="116">
        <f>14.5*J145/3*1*(1+1.2+0.9)*1.2*12/1981*4</f>
        <v>6.9269742554265541</v>
      </c>
    </row>
    <row r="146" spans="1:12" ht="140.4" x14ac:dyDescent="0.3">
      <c r="A146" s="144">
        <f t="shared" si="6"/>
        <v>100</v>
      </c>
      <c r="B146" s="101">
        <v>44342</v>
      </c>
      <c r="C146" s="101" t="s">
        <v>486</v>
      </c>
      <c r="D146" s="55" t="s">
        <v>724</v>
      </c>
      <c r="E146" s="88" t="s">
        <v>488</v>
      </c>
      <c r="F146" s="88" t="s">
        <v>725</v>
      </c>
      <c r="G146" s="55" t="s">
        <v>683</v>
      </c>
      <c r="H146" s="88" t="s">
        <v>721</v>
      </c>
      <c r="I146" s="105" t="s">
        <v>722</v>
      </c>
      <c r="J146" s="119">
        <v>15.9</v>
      </c>
      <c r="K146" s="88" t="s">
        <v>723</v>
      </c>
      <c r="L146" s="116">
        <f>14.5*J146/3*1*(1+1.2+0.9)*1.2*12/1981*4</f>
        <v>6.9269742554265541</v>
      </c>
    </row>
    <row r="147" spans="1:12" ht="140.4" x14ac:dyDescent="0.3">
      <c r="A147" s="144">
        <f t="shared" si="6"/>
        <v>101</v>
      </c>
      <c r="B147" s="101">
        <v>44341</v>
      </c>
      <c r="C147" s="101" t="s">
        <v>486</v>
      </c>
      <c r="D147" s="55" t="s">
        <v>726</v>
      </c>
      <c r="E147" s="88" t="s">
        <v>488</v>
      </c>
      <c r="F147" s="88" t="s">
        <v>727</v>
      </c>
      <c r="G147" s="55" t="s">
        <v>683</v>
      </c>
      <c r="H147" s="88" t="s">
        <v>721</v>
      </c>
      <c r="I147" s="105" t="s">
        <v>722</v>
      </c>
      <c r="J147" s="119">
        <v>15.9</v>
      </c>
      <c r="K147" s="88" t="s">
        <v>728</v>
      </c>
      <c r="L147" s="116">
        <f>14.5*J147/3*1*(1+1.2+0.9)*1.2*12/1981*8</f>
        <v>13.853948510853108</v>
      </c>
    </row>
    <row r="148" spans="1:12" ht="140.4" x14ac:dyDescent="0.3">
      <c r="A148" s="144">
        <f t="shared" ref="A148:A153" si="7">A147+1</f>
        <v>102</v>
      </c>
      <c r="B148" s="101">
        <v>44372</v>
      </c>
      <c r="C148" s="101" t="s">
        <v>486</v>
      </c>
      <c r="D148" s="55" t="s">
        <v>729</v>
      </c>
      <c r="E148" s="88" t="s">
        <v>488</v>
      </c>
      <c r="F148" s="88" t="s">
        <v>730</v>
      </c>
      <c r="G148" s="55" t="s">
        <v>683</v>
      </c>
      <c r="H148" s="88" t="s">
        <v>731</v>
      </c>
      <c r="I148" s="105" t="s">
        <v>732</v>
      </c>
      <c r="J148" s="119">
        <v>64.3</v>
      </c>
      <c r="K148" s="88" t="s">
        <v>733</v>
      </c>
      <c r="L148" s="116">
        <f>14.5*J148*1*(1+1.2+0.9)*1.2*12/1981*4</f>
        <v>84.038574457344765</v>
      </c>
    </row>
    <row r="149" spans="1:12" ht="140.4" x14ac:dyDescent="0.3">
      <c r="A149" s="144">
        <f t="shared" si="7"/>
        <v>103</v>
      </c>
      <c r="B149" s="101">
        <v>44389</v>
      </c>
      <c r="C149" s="101" t="s">
        <v>486</v>
      </c>
      <c r="D149" s="88" t="s">
        <v>734</v>
      </c>
      <c r="E149" s="88" t="s">
        <v>735</v>
      </c>
      <c r="F149" s="88" t="s">
        <v>736</v>
      </c>
      <c r="G149" s="55" t="s">
        <v>683</v>
      </c>
      <c r="H149" s="88" t="s">
        <v>737</v>
      </c>
      <c r="I149" s="89" t="s">
        <v>738</v>
      </c>
      <c r="J149" s="119">
        <v>62.7</v>
      </c>
      <c r="K149" s="88" t="s">
        <v>739</v>
      </c>
      <c r="L149" s="116">
        <f>14.5*J149/3*1*(1+1.2+0.9)*1.2*12/1981*4</f>
        <v>27.315804139323575</v>
      </c>
    </row>
    <row r="150" spans="1:12" ht="140.4" x14ac:dyDescent="0.3">
      <c r="A150" s="55">
        <f t="shared" si="7"/>
        <v>104</v>
      </c>
      <c r="B150" s="101">
        <v>44397</v>
      </c>
      <c r="C150" s="101" t="s">
        <v>486</v>
      </c>
      <c r="D150" s="88" t="s">
        <v>740</v>
      </c>
      <c r="E150" s="88" t="s">
        <v>741</v>
      </c>
      <c r="F150" s="88" t="s">
        <v>742</v>
      </c>
      <c r="G150" s="55" t="s">
        <v>683</v>
      </c>
      <c r="H150" s="88" t="s">
        <v>737</v>
      </c>
      <c r="I150" s="89" t="s">
        <v>738</v>
      </c>
      <c r="J150" s="119">
        <v>62.7</v>
      </c>
      <c r="K150" s="88" t="s">
        <v>743</v>
      </c>
      <c r="L150" s="116">
        <f>14.5*J150/3*1*(1+1.2+0.9)*1.2*12/1981*4</f>
        <v>27.315804139323575</v>
      </c>
    </row>
    <row r="151" spans="1:12" ht="93.6" x14ac:dyDescent="0.3">
      <c r="A151" s="55">
        <f t="shared" si="7"/>
        <v>105</v>
      </c>
      <c r="B151" s="101">
        <v>44440</v>
      </c>
      <c r="C151" s="101">
        <v>44712</v>
      </c>
      <c r="D151" s="88" t="s">
        <v>744</v>
      </c>
      <c r="E151" s="88" t="s">
        <v>539</v>
      </c>
      <c r="F151" s="88" t="s">
        <v>305</v>
      </c>
      <c r="G151" s="55" t="s">
        <v>683</v>
      </c>
      <c r="H151" s="88" t="s">
        <v>694</v>
      </c>
      <c r="I151" s="89" t="s">
        <v>745</v>
      </c>
      <c r="J151" s="119">
        <v>440.3</v>
      </c>
      <c r="K151" s="88" t="s">
        <v>746</v>
      </c>
      <c r="L151" s="116">
        <f>14.5*J151*1*(1+1.2+0.9)*0.2*12/1981*30</f>
        <v>719.32706713780931</v>
      </c>
    </row>
    <row r="152" spans="1:12" ht="109.2" x14ac:dyDescent="0.3">
      <c r="A152" s="63">
        <f t="shared" si="7"/>
        <v>106</v>
      </c>
      <c r="B152" s="64">
        <v>44547</v>
      </c>
      <c r="C152" s="64">
        <v>44712</v>
      </c>
      <c r="D152" s="63" t="s">
        <v>747</v>
      </c>
      <c r="E152" s="63" t="s">
        <v>587</v>
      </c>
      <c r="F152" s="63" t="s">
        <v>270</v>
      </c>
      <c r="G152" s="63" t="s">
        <v>660</v>
      </c>
      <c r="H152" s="364" t="s">
        <v>748</v>
      </c>
      <c r="I152" s="364"/>
      <c r="J152" s="124">
        <v>4077</v>
      </c>
      <c r="K152" s="63" t="s">
        <v>749</v>
      </c>
      <c r="L152" s="46">
        <f>14.5*J152*1*(1+1.2+0.9)*0.2</f>
        <v>36652.230000000003</v>
      </c>
    </row>
    <row r="153" spans="1:12" ht="93.6" x14ac:dyDescent="0.3">
      <c r="A153" s="63">
        <f t="shared" si="7"/>
        <v>107</v>
      </c>
      <c r="B153" s="62">
        <v>44547</v>
      </c>
      <c r="C153" s="62">
        <v>46372</v>
      </c>
      <c r="D153" s="58" t="s">
        <v>750</v>
      </c>
      <c r="E153" s="58" t="s">
        <v>587</v>
      </c>
      <c r="F153" s="58" t="s">
        <v>659</v>
      </c>
      <c r="G153" s="58" t="s">
        <v>660</v>
      </c>
      <c r="H153" s="58" t="s">
        <v>751</v>
      </c>
      <c r="I153" s="59" t="s">
        <v>752</v>
      </c>
      <c r="J153" s="125">
        <v>644.70000000000005</v>
      </c>
      <c r="K153" s="58" t="s">
        <v>753</v>
      </c>
      <c r="L153" s="46">
        <f>14.5*J153*1*(1+0.5+0.9)*0.2</f>
        <v>4487.1120000000001</v>
      </c>
    </row>
    <row r="154" spans="1:12" ht="17.399999999999999" x14ac:dyDescent="0.3">
      <c r="A154" s="382" t="s">
        <v>754</v>
      </c>
      <c r="B154" s="383"/>
      <c r="C154" s="383"/>
      <c r="D154" s="383"/>
      <c r="E154" s="383"/>
      <c r="F154" s="383"/>
      <c r="G154" s="383"/>
      <c r="H154" s="383"/>
      <c r="I154" s="383"/>
      <c r="J154" s="383"/>
      <c r="K154" s="384"/>
    </row>
    <row r="155" spans="1:12" ht="124.8" x14ac:dyDescent="0.3">
      <c r="A155" s="63">
        <f>A153+1</f>
        <v>108</v>
      </c>
      <c r="B155" s="62">
        <v>44440</v>
      </c>
      <c r="C155" s="62">
        <v>45535</v>
      </c>
      <c r="D155" s="63" t="s">
        <v>755</v>
      </c>
      <c r="E155" s="63" t="s">
        <v>193</v>
      </c>
      <c r="F155" s="58" t="s">
        <v>756</v>
      </c>
      <c r="G155" s="58" t="s">
        <v>757</v>
      </c>
      <c r="H155" s="58" t="s">
        <v>758</v>
      </c>
      <c r="I155" s="145" t="s">
        <v>759</v>
      </c>
      <c r="J155" s="60">
        <v>31.4</v>
      </c>
      <c r="K155" s="58" t="s">
        <v>760</v>
      </c>
      <c r="L155" s="46">
        <f>14.5*J155*1.2*(1+1.2+0.9)*1.3</f>
        <v>2201.8307999999997</v>
      </c>
    </row>
    <row r="156" spans="1:12" ht="124.8" x14ac:dyDescent="0.3">
      <c r="A156" s="44">
        <f>A155+1</f>
        <v>109</v>
      </c>
      <c r="B156" s="43">
        <v>44523</v>
      </c>
      <c r="C156" s="43" t="s">
        <v>761</v>
      </c>
      <c r="D156" s="44" t="s">
        <v>762</v>
      </c>
      <c r="E156" s="44" t="s">
        <v>587</v>
      </c>
      <c r="F156" s="87" t="s">
        <v>763</v>
      </c>
      <c r="G156" s="146" t="s">
        <v>764</v>
      </c>
      <c r="H156" s="97" t="s">
        <v>765</v>
      </c>
      <c r="I156" s="45" t="s">
        <v>766</v>
      </c>
      <c r="J156" s="97">
        <v>37.1</v>
      </c>
      <c r="K156" s="44" t="s">
        <v>767</v>
      </c>
      <c r="L156" s="147">
        <f>14.5*J156*1.2*(1+1+0.9)*0.2</f>
        <v>374.41320000000007</v>
      </c>
    </row>
    <row r="157" spans="1:12" ht="140.4" x14ac:dyDescent="0.3">
      <c r="A157" s="44">
        <f>A156+1</f>
        <v>110</v>
      </c>
      <c r="B157" s="43">
        <v>43741</v>
      </c>
      <c r="C157" s="43">
        <v>44836</v>
      </c>
      <c r="D157" s="148" t="s">
        <v>768</v>
      </c>
      <c r="E157" s="44" t="s">
        <v>769</v>
      </c>
      <c r="F157" s="87" t="s">
        <v>770</v>
      </c>
      <c r="G157" s="146" t="s">
        <v>764</v>
      </c>
      <c r="H157" s="97" t="s">
        <v>771</v>
      </c>
      <c r="I157" s="45" t="s">
        <v>772</v>
      </c>
      <c r="J157" s="97">
        <v>16.3</v>
      </c>
      <c r="K157" s="44" t="s">
        <v>773</v>
      </c>
      <c r="L157" s="147">
        <f>14.5*J157*1.2*(1+1.2+0.9)*1.2</f>
        <v>1055.0664000000002</v>
      </c>
    </row>
    <row r="158" spans="1:12" ht="140.4" x14ac:dyDescent="0.3">
      <c r="A158" s="44">
        <f>A157+1</f>
        <v>111</v>
      </c>
      <c r="B158" s="101">
        <v>44341</v>
      </c>
      <c r="C158" s="101" t="s">
        <v>486</v>
      </c>
      <c r="D158" s="55" t="s">
        <v>774</v>
      </c>
      <c r="E158" s="88" t="s">
        <v>488</v>
      </c>
      <c r="F158" s="88" t="s">
        <v>775</v>
      </c>
      <c r="G158" s="55" t="s">
        <v>683</v>
      </c>
      <c r="H158" s="88" t="s">
        <v>776</v>
      </c>
      <c r="I158" s="105" t="s">
        <v>777</v>
      </c>
      <c r="J158" s="90">
        <v>28.5</v>
      </c>
      <c r="K158" s="88" t="s">
        <v>778</v>
      </c>
      <c r="L158" s="46">
        <f>14.5*J158*1*(1+1.2+0.9)*1.2*12/1981*16</f>
        <v>148.9952953054013</v>
      </c>
    </row>
    <row r="159" spans="1:12" x14ac:dyDescent="0.3">
      <c r="A159" s="382" t="s">
        <v>779</v>
      </c>
      <c r="B159" s="385"/>
      <c r="C159" s="385"/>
      <c r="D159" s="385"/>
      <c r="E159" s="385"/>
      <c r="F159" s="385"/>
      <c r="G159" s="385"/>
      <c r="H159" s="385"/>
      <c r="I159" s="385"/>
      <c r="J159" s="385"/>
      <c r="K159" s="385"/>
    </row>
    <row r="160" spans="1:12" ht="78" x14ac:dyDescent="0.3">
      <c r="A160" s="55">
        <f>A158+1</f>
        <v>112</v>
      </c>
      <c r="B160" s="101">
        <v>43215</v>
      </c>
      <c r="C160" s="149">
        <v>45040</v>
      </c>
      <c r="D160" s="55" t="s">
        <v>780</v>
      </c>
      <c r="E160" s="55" t="s">
        <v>167</v>
      </c>
      <c r="F160" s="88" t="s">
        <v>781</v>
      </c>
      <c r="G160" s="88" t="s">
        <v>782</v>
      </c>
      <c r="H160" s="88" t="s">
        <v>783</v>
      </c>
      <c r="I160" s="89" t="s">
        <v>784</v>
      </c>
      <c r="J160" s="119">
        <v>168.9</v>
      </c>
      <c r="K160" s="88" t="s">
        <v>785</v>
      </c>
      <c r="L160" s="46">
        <f>14.5*J160*1.2*(1+1.2+0.9)*1.2</f>
        <v>10932.5592</v>
      </c>
    </row>
    <row r="161" spans="1:12" ht="78" x14ac:dyDescent="0.3">
      <c r="A161" s="55">
        <f>A160+1</f>
        <v>113</v>
      </c>
      <c r="B161" s="51">
        <v>43263</v>
      </c>
      <c r="C161" s="51">
        <v>46915</v>
      </c>
      <c r="D161" s="44" t="s">
        <v>786</v>
      </c>
      <c r="E161" s="44" t="s">
        <v>241</v>
      </c>
      <c r="F161" s="44" t="s">
        <v>787</v>
      </c>
      <c r="G161" s="44" t="s">
        <v>370</v>
      </c>
      <c r="H161" s="44" t="s">
        <v>788</v>
      </c>
      <c r="I161" s="45" t="s">
        <v>789</v>
      </c>
      <c r="J161" s="44">
        <v>47.6</v>
      </c>
      <c r="K161" s="44" t="s">
        <v>790</v>
      </c>
      <c r="L161" s="46">
        <f>14.5*J161*1.2*(1+1.2+0.9)*1.2</f>
        <v>3081.0528000000004</v>
      </c>
    </row>
    <row r="162" spans="1:12" ht="124.8" x14ac:dyDescent="0.3">
      <c r="A162" s="55">
        <f t="shared" ref="A162:A167" si="8">A161+1</f>
        <v>114</v>
      </c>
      <c r="B162" s="68">
        <v>43188</v>
      </c>
      <c r="C162" s="68">
        <v>45013</v>
      </c>
      <c r="D162" s="55" t="s">
        <v>791</v>
      </c>
      <c r="E162" s="55" t="s">
        <v>792</v>
      </c>
      <c r="F162" s="55" t="s">
        <v>305</v>
      </c>
      <c r="G162" s="55" t="s">
        <v>370</v>
      </c>
      <c r="H162" s="55" t="s">
        <v>793</v>
      </c>
      <c r="I162" s="56" t="s">
        <v>794</v>
      </c>
      <c r="J162" s="55">
        <v>103.89</v>
      </c>
      <c r="K162" s="55" t="s">
        <v>795</v>
      </c>
      <c r="L162" s="46">
        <f>14.5*J162*1.2*(1+1.2+0.9)*1.2</f>
        <v>6724.5919199999998</v>
      </c>
    </row>
    <row r="163" spans="1:12" ht="327.60000000000002" x14ac:dyDescent="0.3">
      <c r="A163" s="48">
        <f t="shared" si="8"/>
        <v>115</v>
      </c>
      <c r="B163" s="50">
        <v>43301</v>
      </c>
      <c r="C163" s="50">
        <v>46953</v>
      </c>
      <c r="D163" s="48" t="s">
        <v>796</v>
      </c>
      <c r="E163" s="48" t="s">
        <v>797</v>
      </c>
      <c r="F163" s="48" t="s">
        <v>798</v>
      </c>
      <c r="G163" s="48" t="s">
        <v>370</v>
      </c>
      <c r="H163" s="48" t="s">
        <v>799</v>
      </c>
      <c r="I163" s="49" t="s">
        <v>800</v>
      </c>
      <c r="J163" s="48">
        <f>333.4+454.6</f>
        <v>788</v>
      </c>
      <c r="K163" s="48" t="s">
        <v>801</v>
      </c>
      <c r="L163" s="46">
        <f>14.5*J163*1*(1+1.2+0.3)*0.6</f>
        <v>17139</v>
      </c>
    </row>
    <row r="164" spans="1:12" ht="124.8" x14ac:dyDescent="0.3">
      <c r="A164" s="44">
        <f t="shared" si="8"/>
        <v>116</v>
      </c>
      <c r="B164" s="51">
        <v>43804</v>
      </c>
      <c r="C164" s="51">
        <v>52936</v>
      </c>
      <c r="D164" s="44" t="s">
        <v>802</v>
      </c>
      <c r="E164" s="44" t="s">
        <v>803</v>
      </c>
      <c r="F164" s="44" t="s">
        <v>804</v>
      </c>
      <c r="G164" s="44" t="s">
        <v>370</v>
      </c>
      <c r="H164" s="44" t="s">
        <v>805</v>
      </c>
      <c r="I164" s="45" t="s">
        <v>806</v>
      </c>
      <c r="J164" s="44">
        <v>464.2</v>
      </c>
      <c r="K164" s="44" t="s">
        <v>807</v>
      </c>
      <c r="L164" s="46">
        <f>14.5*J164*1.2*(1+1.2+1.1)*0.2</f>
        <v>5330.8728000000001</v>
      </c>
    </row>
    <row r="165" spans="1:12" ht="78" x14ac:dyDescent="0.3">
      <c r="A165" s="63">
        <f t="shared" si="8"/>
        <v>117</v>
      </c>
      <c r="B165" s="64" t="s">
        <v>808</v>
      </c>
      <c r="C165" s="64">
        <v>45275</v>
      </c>
      <c r="D165" s="63" t="s">
        <v>809</v>
      </c>
      <c r="E165" s="58" t="s">
        <v>453</v>
      </c>
      <c r="F165" s="63" t="s">
        <v>810</v>
      </c>
      <c r="G165" s="63" t="s">
        <v>370</v>
      </c>
      <c r="H165" s="63" t="s">
        <v>811</v>
      </c>
      <c r="I165" s="150" t="s">
        <v>812</v>
      </c>
      <c r="J165" s="63">
        <v>68.400000000000006</v>
      </c>
      <c r="K165" s="151" t="s">
        <v>813</v>
      </c>
      <c r="L165" s="46">
        <f>14.5*J165*1.2*(1+1.2+0.7)*0.8</f>
        <v>2761.1712000000007</v>
      </c>
    </row>
    <row r="166" spans="1:12" ht="110.4" x14ac:dyDescent="0.3">
      <c r="A166" s="52">
        <f t="shared" si="8"/>
        <v>118</v>
      </c>
      <c r="B166" s="53">
        <v>44393</v>
      </c>
      <c r="C166" s="53">
        <v>44362</v>
      </c>
      <c r="D166" s="52" t="s">
        <v>814</v>
      </c>
      <c r="E166" s="83" t="s">
        <v>193</v>
      </c>
      <c r="F166" s="52" t="s">
        <v>815</v>
      </c>
      <c r="G166" s="52" t="s">
        <v>370</v>
      </c>
      <c r="H166" s="52" t="s">
        <v>816</v>
      </c>
      <c r="I166" s="54" t="s">
        <v>817</v>
      </c>
      <c r="J166" s="52">
        <v>52</v>
      </c>
      <c r="K166" s="152" t="s">
        <v>818</v>
      </c>
      <c r="L166" s="116">
        <f>14.5*J166*1.2*(1+1+0.3)*0.6</f>
        <v>1248.6239999999996</v>
      </c>
    </row>
    <row r="167" spans="1:12" ht="93.6" x14ac:dyDescent="0.3">
      <c r="A167" s="55">
        <f t="shared" si="8"/>
        <v>119</v>
      </c>
      <c r="B167" s="68">
        <v>44558</v>
      </c>
      <c r="C167" s="68">
        <v>44712</v>
      </c>
      <c r="D167" s="55" t="s">
        <v>819</v>
      </c>
      <c r="E167" s="55" t="s">
        <v>587</v>
      </c>
      <c r="F167" s="55" t="s">
        <v>820</v>
      </c>
      <c r="G167" s="55" t="s">
        <v>370</v>
      </c>
      <c r="H167" s="55" t="s">
        <v>821</v>
      </c>
      <c r="I167" s="56" t="s">
        <v>822</v>
      </c>
      <c r="J167" s="55">
        <v>955.4</v>
      </c>
      <c r="K167" s="55" t="s">
        <v>823</v>
      </c>
      <c r="L167" s="116">
        <f>14.5*J167*1*(1+1.2+0.9)*0.8*12/1981*6</f>
        <v>1248.6851327612317</v>
      </c>
    </row>
    <row r="168" spans="1:12" ht="78" x14ac:dyDescent="0.3">
      <c r="A168" s="52">
        <f>A167+1</f>
        <v>120</v>
      </c>
      <c r="B168" s="53">
        <v>44523</v>
      </c>
      <c r="C168" s="53">
        <v>46348</v>
      </c>
      <c r="D168" s="52" t="s">
        <v>824</v>
      </c>
      <c r="E168" s="52" t="s">
        <v>587</v>
      </c>
      <c r="F168" s="52" t="s">
        <v>251</v>
      </c>
      <c r="G168" s="52" t="s">
        <v>825</v>
      </c>
      <c r="H168" s="52" t="s">
        <v>826</v>
      </c>
      <c r="I168" s="54" t="s">
        <v>827</v>
      </c>
      <c r="J168" s="52">
        <v>9.8000000000000007</v>
      </c>
      <c r="K168" s="52" t="s">
        <v>828</v>
      </c>
      <c r="L168" s="66">
        <f>14.5*J168*1*(1+1.2+0.3)*0.6</f>
        <v>213.15000000000003</v>
      </c>
    </row>
    <row r="169" spans="1:12" ht="17.399999999999999" x14ac:dyDescent="0.3">
      <c r="A169" s="382" t="s">
        <v>829</v>
      </c>
      <c r="B169" s="383"/>
      <c r="C169" s="383"/>
      <c r="D169" s="383"/>
      <c r="E169" s="383"/>
      <c r="F169" s="383"/>
      <c r="G169" s="383"/>
      <c r="H169" s="383"/>
      <c r="I169" s="383"/>
      <c r="J169" s="383"/>
      <c r="K169" s="383"/>
      <c r="L169" s="46"/>
    </row>
    <row r="170" spans="1:12" ht="93.6" x14ac:dyDescent="0.3">
      <c r="A170" s="44">
        <f>A168+1</f>
        <v>121</v>
      </c>
      <c r="B170" s="51" t="s">
        <v>830</v>
      </c>
      <c r="C170" s="51">
        <v>45062</v>
      </c>
      <c r="D170" s="44" t="s">
        <v>831</v>
      </c>
      <c r="E170" s="44" t="s">
        <v>832</v>
      </c>
      <c r="F170" s="44" t="s">
        <v>833</v>
      </c>
      <c r="G170" s="44" t="s">
        <v>834</v>
      </c>
      <c r="H170" s="44" t="s">
        <v>835</v>
      </c>
      <c r="I170" s="45" t="s">
        <v>836</v>
      </c>
      <c r="J170" s="44">
        <v>13.2</v>
      </c>
      <c r="K170" s="44" t="s">
        <v>837</v>
      </c>
      <c r="L170" s="46">
        <f>14.5*J170*1.2*(1+1.2+0.9)*0.1</f>
        <v>71.200800000000001</v>
      </c>
    </row>
    <row r="171" spans="1:12" ht="93.6" x14ac:dyDescent="0.3">
      <c r="A171" s="44">
        <f t="shared" ref="A171:A179" si="9">A170+1</f>
        <v>122</v>
      </c>
      <c r="B171" s="51" t="s">
        <v>838</v>
      </c>
      <c r="C171" s="51">
        <v>45058</v>
      </c>
      <c r="D171" s="44" t="s">
        <v>839</v>
      </c>
      <c r="E171" s="44" t="s">
        <v>832</v>
      </c>
      <c r="F171" s="44" t="s">
        <v>840</v>
      </c>
      <c r="G171" s="44" t="s">
        <v>834</v>
      </c>
      <c r="H171" s="44" t="s">
        <v>841</v>
      </c>
      <c r="I171" s="45" t="s">
        <v>842</v>
      </c>
      <c r="J171" s="44">
        <v>14.1</v>
      </c>
      <c r="K171" s="44" t="s">
        <v>843</v>
      </c>
      <c r="L171" s="46">
        <f>14.5*J171*1.2*(1+1.2+0.9)*1.2</f>
        <v>912.6647999999999</v>
      </c>
    </row>
    <row r="172" spans="1:12" ht="109.2" x14ac:dyDescent="0.3">
      <c r="A172" s="44">
        <f t="shared" si="9"/>
        <v>123</v>
      </c>
      <c r="B172" s="51" t="s">
        <v>830</v>
      </c>
      <c r="C172" s="51">
        <v>45062</v>
      </c>
      <c r="D172" s="44" t="s">
        <v>844</v>
      </c>
      <c r="E172" s="44" t="s">
        <v>832</v>
      </c>
      <c r="F172" s="44" t="s">
        <v>845</v>
      </c>
      <c r="G172" s="44" t="s">
        <v>834</v>
      </c>
      <c r="H172" s="44" t="s">
        <v>846</v>
      </c>
      <c r="I172" s="45" t="s">
        <v>847</v>
      </c>
      <c r="J172" s="44">
        <v>16.5</v>
      </c>
      <c r="K172" s="44" t="s">
        <v>848</v>
      </c>
      <c r="L172" s="46">
        <f>14.5*J172*1.2*(1+1.2+0.9)*1.2</f>
        <v>1068.0119999999997</v>
      </c>
    </row>
    <row r="173" spans="1:12" ht="78" x14ac:dyDescent="0.3">
      <c r="A173" s="48">
        <f t="shared" si="9"/>
        <v>124</v>
      </c>
      <c r="B173" s="50">
        <v>42948</v>
      </c>
      <c r="C173" s="50">
        <v>44774</v>
      </c>
      <c r="D173" s="48" t="s">
        <v>849</v>
      </c>
      <c r="E173" s="93" t="s">
        <v>850</v>
      </c>
      <c r="F173" s="48" t="s">
        <v>851</v>
      </c>
      <c r="G173" s="48" t="s">
        <v>834</v>
      </c>
      <c r="H173" s="48" t="s">
        <v>835</v>
      </c>
      <c r="I173" s="49" t="s">
        <v>852</v>
      </c>
      <c r="J173" s="48">
        <v>15.5</v>
      </c>
      <c r="K173" s="48" t="s">
        <v>853</v>
      </c>
      <c r="L173" s="46">
        <f>14.5*J173*1.2*(1+1.2+0.9)*1.2</f>
        <v>1003.2839999999999</v>
      </c>
    </row>
    <row r="174" spans="1:12" ht="140.4" x14ac:dyDescent="0.3">
      <c r="A174" s="48">
        <f t="shared" si="9"/>
        <v>125</v>
      </c>
      <c r="B174" s="50">
        <v>42948</v>
      </c>
      <c r="C174" s="50">
        <v>44774</v>
      </c>
      <c r="D174" s="48" t="s">
        <v>854</v>
      </c>
      <c r="E174" s="93" t="s">
        <v>855</v>
      </c>
      <c r="F174" s="93" t="s">
        <v>856</v>
      </c>
      <c r="G174" s="48" t="s">
        <v>834</v>
      </c>
      <c r="H174" s="48" t="s">
        <v>857</v>
      </c>
      <c r="I174" s="49" t="s">
        <v>858</v>
      </c>
      <c r="J174" s="48">
        <v>145</v>
      </c>
      <c r="K174" s="48" t="s">
        <v>859</v>
      </c>
      <c r="L174" s="46">
        <f>14.5*J174*1.2*(1+1.2+0.9)*1.2</f>
        <v>9385.56</v>
      </c>
    </row>
    <row r="175" spans="1:12" ht="202.8" x14ac:dyDescent="0.3">
      <c r="A175" s="55">
        <f t="shared" si="9"/>
        <v>126</v>
      </c>
      <c r="B175" s="101">
        <v>42948</v>
      </c>
      <c r="C175" s="101">
        <v>44773</v>
      </c>
      <c r="D175" s="55" t="s">
        <v>860</v>
      </c>
      <c r="E175" s="55" t="s">
        <v>861</v>
      </c>
      <c r="F175" s="88" t="s">
        <v>862</v>
      </c>
      <c r="G175" s="55" t="s">
        <v>834</v>
      </c>
      <c r="H175" s="88" t="s">
        <v>863</v>
      </c>
      <c r="I175" s="89" t="s">
        <v>864</v>
      </c>
      <c r="J175" s="90">
        <f>773.1+379.9+93.4</f>
        <v>1246.4000000000001</v>
      </c>
      <c r="K175" s="88" t="s">
        <v>865</v>
      </c>
      <c r="L175" s="46">
        <f>14.5*J175*1.2*(1+1.2+0.9)*1.2</f>
        <v>80676.979200000016</v>
      </c>
    </row>
    <row r="176" spans="1:12" ht="78" x14ac:dyDescent="0.3">
      <c r="A176" s="55">
        <f t="shared" si="9"/>
        <v>127</v>
      </c>
      <c r="B176" s="68">
        <v>43170</v>
      </c>
      <c r="C176" s="68">
        <v>44995</v>
      </c>
      <c r="D176" s="55" t="s">
        <v>866</v>
      </c>
      <c r="E176" s="55" t="s">
        <v>167</v>
      </c>
      <c r="F176" s="55" t="s">
        <v>168</v>
      </c>
      <c r="G176" s="55" t="s">
        <v>834</v>
      </c>
      <c r="H176" s="55" t="s">
        <v>867</v>
      </c>
      <c r="I176" s="56" t="s">
        <v>868</v>
      </c>
      <c r="J176" s="55">
        <v>80.400000000000006</v>
      </c>
      <c r="K176" s="55" t="s">
        <v>172</v>
      </c>
      <c r="L176" s="131">
        <f>14.5*J176*1.2*(1+0.1+0.9)*1.2</f>
        <v>3357.5040000000004</v>
      </c>
    </row>
    <row r="177" spans="1:12" ht="374.4" x14ac:dyDescent="0.3">
      <c r="A177" s="55">
        <f t="shared" si="9"/>
        <v>128</v>
      </c>
      <c r="B177" s="68" t="s">
        <v>869</v>
      </c>
      <c r="C177" s="68">
        <v>45082</v>
      </c>
      <c r="D177" s="55" t="s">
        <v>870</v>
      </c>
      <c r="E177" s="55" t="s">
        <v>871</v>
      </c>
      <c r="F177" s="55" t="s">
        <v>872</v>
      </c>
      <c r="G177" s="55" t="s">
        <v>834</v>
      </c>
      <c r="H177" s="55" t="s">
        <v>873</v>
      </c>
      <c r="I177" s="56" t="s">
        <v>874</v>
      </c>
      <c r="J177" s="55">
        <v>891.64</v>
      </c>
      <c r="K177" s="55" t="s">
        <v>875</v>
      </c>
      <c r="L177" s="46">
        <f>14.5*J177*1.2*(1+1.2+0.9)*1.2</f>
        <v>57714.073920000003</v>
      </c>
    </row>
    <row r="178" spans="1:12" ht="93.6" x14ac:dyDescent="0.3">
      <c r="A178" s="88">
        <f t="shared" si="9"/>
        <v>129</v>
      </c>
      <c r="B178" s="68">
        <v>43984</v>
      </c>
      <c r="C178" s="68">
        <v>45078</v>
      </c>
      <c r="D178" s="55" t="s">
        <v>876</v>
      </c>
      <c r="E178" s="55" t="s">
        <v>412</v>
      </c>
      <c r="F178" s="55" t="s">
        <v>877</v>
      </c>
      <c r="G178" s="55" t="s">
        <v>834</v>
      </c>
      <c r="H178" s="55" t="s">
        <v>878</v>
      </c>
      <c r="I178" s="56" t="s">
        <v>879</v>
      </c>
      <c r="J178" s="55">
        <v>53.5</v>
      </c>
      <c r="K178" s="55" t="s">
        <v>859</v>
      </c>
      <c r="L178" s="46">
        <f>14.5*J178*1.2*(1+1.2+0.9)*1.2</f>
        <v>3462.9479999999999</v>
      </c>
    </row>
    <row r="179" spans="1:12" ht="78" x14ac:dyDescent="0.3">
      <c r="A179" s="88">
        <f t="shared" si="9"/>
        <v>130</v>
      </c>
      <c r="B179" s="68">
        <v>44448</v>
      </c>
      <c r="C179" s="68">
        <v>45543</v>
      </c>
      <c r="D179" s="55" t="s">
        <v>880</v>
      </c>
      <c r="E179" s="55" t="s">
        <v>555</v>
      </c>
      <c r="F179" s="55" t="s">
        <v>877</v>
      </c>
      <c r="G179" s="55" t="s">
        <v>834</v>
      </c>
      <c r="H179" s="55" t="s">
        <v>881</v>
      </c>
      <c r="I179" s="56" t="s">
        <v>882</v>
      </c>
      <c r="J179" s="118">
        <v>73</v>
      </c>
      <c r="K179" s="55" t="s">
        <v>859</v>
      </c>
      <c r="L179" s="46">
        <f>14.5*J179*1.2*(1+1.2+0.9)*0.1</f>
        <v>393.76200000000006</v>
      </c>
    </row>
    <row r="180" spans="1:12" ht="93.6" x14ac:dyDescent="0.3">
      <c r="A180" s="87">
        <f t="shared" ref="A180:A192" si="10">A179+1</f>
        <v>131</v>
      </c>
      <c r="B180" s="43">
        <v>44448</v>
      </c>
      <c r="C180" s="43">
        <v>45543</v>
      </c>
      <c r="D180" s="87" t="s">
        <v>883</v>
      </c>
      <c r="E180" s="87" t="s">
        <v>555</v>
      </c>
      <c r="F180" s="87" t="s">
        <v>884</v>
      </c>
      <c r="G180" s="87" t="s">
        <v>834</v>
      </c>
      <c r="H180" s="87" t="s">
        <v>885</v>
      </c>
      <c r="I180" s="94" t="s">
        <v>886</v>
      </c>
      <c r="J180" s="95">
        <v>55.3</v>
      </c>
      <c r="K180" s="87" t="s">
        <v>887</v>
      </c>
      <c r="L180" s="46">
        <f>14.5*J180*1.2*(1+1.2+0.9)*1.2</f>
        <v>3579.4583999999995</v>
      </c>
    </row>
    <row r="181" spans="1:12" ht="124.8" x14ac:dyDescent="0.3">
      <c r="A181" s="58">
        <f t="shared" si="10"/>
        <v>132</v>
      </c>
      <c r="B181" s="153">
        <v>42866</v>
      </c>
      <c r="C181" s="153">
        <v>44691</v>
      </c>
      <c r="D181" s="58" t="s">
        <v>888</v>
      </c>
      <c r="E181" s="58" t="s">
        <v>269</v>
      </c>
      <c r="F181" s="58" t="s">
        <v>756</v>
      </c>
      <c r="G181" s="58" t="s">
        <v>834</v>
      </c>
      <c r="H181" s="58" t="s">
        <v>889</v>
      </c>
      <c r="I181" s="59" t="s">
        <v>890</v>
      </c>
      <c r="J181" s="60">
        <v>243.3</v>
      </c>
      <c r="K181" s="58" t="s">
        <v>116</v>
      </c>
      <c r="L181" s="46">
        <f>14.5*J181*1.2*(1+1.2+0.9)*1.3</f>
        <v>17060.6826</v>
      </c>
    </row>
    <row r="182" spans="1:12" ht="124.8" x14ac:dyDescent="0.3">
      <c r="A182" s="58">
        <f t="shared" si="10"/>
        <v>133</v>
      </c>
      <c r="B182" s="153">
        <v>44374</v>
      </c>
      <c r="C182" s="153">
        <v>45449</v>
      </c>
      <c r="D182" s="58" t="s">
        <v>891</v>
      </c>
      <c r="E182" s="58" t="s">
        <v>193</v>
      </c>
      <c r="F182" s="58" t="s">
        <v>756</v>
      </c>
      <c r="G182" s="58" t="s">
        <v>834</v>
      </c>
      <c r="H182" s="58" t="s">
        <v>892</v>
      </c>
      <c r="I182" s="59" t="s">
        <v>893</v>
      </c>
      <c r="J182" s="60">
        <v>35.700000000000003</v>
      </c>
      <c r="K182" s="58" t="s">
        <v>894</v>
      </c>
      <c r="L182" s="46">
        <f>14.5*J182*1.2*(1+1.2+0.3)*0.6</f>
        <v>931.7700000000001</v>
      </c>
    </row>
    <row r="183" spans="1:12" ht="140.4" x14ac:dyDescent="0.3">
      <c r="A183" s="114">
        <f t="shared" si="10"/>
        <v>134</v>
      </c>
      <c r="B183" s="132">
        <v>43101</v>
      </c>
      <c r="C183" s="132">
        <v>46752</v>
      </c>
      <c r="D183" s="114" t="s">
        <v>895</v>
      </c>
      <c r="E183" s="114" t="s">
        <v>111</v>
      </c>
      <c r="F183" s="114" t="s">
        <v>112</v>
      </c>
      <c r="G183" s="114" t="s">
        <v>834</v>
      </c>
      <c r="H183" s="114" t="s">
        <v>896</v>
      </c>
      <c r="I183" s="135" t="s">
        <v>897</v>
      </c>
      <c r="J183" s="114">
        <v>22.75</v>
      </c>
      <c r="K183" s="114" t="s">
        <v>530</v>
      </c>
      <c r="L183" s="46">
        <f>14.5*J183*1.2*(1+1.2+0.9)*0.6</f>
        <v>736.28099999999995</v>
      </c>
    </row>
    <row r="184" spans="1:12" ht="124.8" x14ac:dyDescent="0.3">
      <c r="A184" s="144">
        <f t="shared" si="10"/>
        <v>135</v>
      </c>
      <c r="B184" s="101">
        <v>43188</v>
      </c>
      <c r="C184" s="101">
        <v>45013</v>
      </c>
      <c r="D184" s="55" t="s">
        <v>898</v>
      </c>
      <c r="E184" s="55" t="s">
        <v>899</v>
      </c>
      <c r="F184" s="55" t="s">
        <v>305</v>
      </c>
      <c r="G184" s="55" t="s">
        <v>834</v>
      </c>
      <c r="H184" s="55" t="s">
        <v>892</v>
      </c>
      <c r="I184" s="56" t="s">
        <v>900</v>
      </c>
      <c r="J184" s="55">
        <v>14.9</v>
      </c>
      <c r="K184" s="55" t="s">
        <v>901</v>
      </c>
      <c r="L184" s="131">
        <f>(14.5*J184*1.2*(1+1.2+0.9)*1.2)</f>
        <v>964.44719999999995</v>
      </c>
    </row>
    <row r="185" spans="1:12" ht="78" x14ac:dyDescent="0.3">
      <c r="A185" s="144">
        <f>A184+1</f>
        <v>136</v>
      </c>
      <c r="B185" s="154">
        <v>43311</v>
      </c>
      <c r="C185" s="154">
        <v>45136</v>
      </c>
      <c r="D185" s="144" t="s">
        <v>902</v>
      </c>
      <c r="E185" s="144" t="s">
        <v>903</v>
      </c>
      <c r="F185" s="155" t="s">
        <v>820</v>
      </c>
      <c r="G185" s="144" t="s">
        <v>834</v>
      </c>
      <c r="H185" s="155" t="s">
        <v>904</v>
      </c>
      <c r="I185" s="156" t="s">
        <v>905</v>
      </c>
      <c r="J185" s="157">
        <v>52.94</v>
      </c>
      <c r="K185" s="144" t="s">
        <v>530</v>
      </c>
      <c r="L185" s="46">
        <f>(14.5*31.2*1.2*(1+1.2+0.5)*0.6)+(14.5*21.74*1.2*(1+1.2)*0.6)</f>
        <v>1378.7899199999999</v>
      </c>
    </row>
    <row r="186" spans="1:12" ht="358.8" x14ac:dyDescent="0.3">
      <c r="A186" s="114">
        <f>A185+1</f>
        <v>137</v>
      </c>
      <c r="B186" s="69">
        <v>43444</v>
      </c>
      <c r="C186" s="69">
        <v>47096</v>
      </c>
      <c r="D186" s="44" t="s">
        <v>906</v>
      </c>
      <c r="E186" s="44" t="s">
        <v>245</v>
      </c>
      <c r="F186" s="44" t="s">
        <v>907</v>
      </c>
      <c r="G186" s="44" t="s">
        <v>834</v>
      </c>
      <c r="H186" s="44" t="s">
        <v>908</v>
      </c>
      <c r="I186" s="45" t="s">
        <v>909</v>
      </c>
      <c r="J186" s="158">
        <f>485.1+81.1+246.7+238.6+291.4+61.3+139.7</f>
        <v>1543.9</v>
      </c>
      <c r="K186" s="44" t="s">
        <v>910</v>
      </c>
      <c r="L186" s="46">
        <f>14.5*J186*1*(1+1.2+0.7)*0.9</f>
        <v>58428.895500000013</v>
      </c>
    </row>
    <row r="187" spans="1:12" ht="109.2" x14ac:dyDescent="0.3">
      <c r="A187" s="44">
        <f t="shared" si="10"/>
        <v>138</v>
      </c>
      <c r="B187" s="69">
        <v>43515</v>
      </c>
      <c r="C187" s="69">
        <v>47167</v>
      </c>
      <c r="D187" s="44" t="s">
        <v>911</v>
      </c>
      <c r="E187" s="44" t="s">
        <v>245</v>
      </c>
      <c r="F187" s="44" t="s">
        <v>912</v>
      </c>
      <c r="G187" s="44" t="s">
        <v>834</v>
      </c>
      <c r="H187" s="44" t="s">
        <v>913</v>
      </c>
      <c r="I187" s="45" t="s">
        <v>914</v>
      </c>
      <c r="J187" s="44">
        <v>432.3</v>
      </c>
      <c r="K187" s="44" t="s">
        <v>915</v>
      </c>
      <c r="L187" s="46">
        <f>(14.5*93.8*1*(1+1.2+0.9)*0.9)+(14.5*338.5*1*(1+1.2)*0.6)</f>
        <v>10273.569</v>
      </c>
    </row>
    <row r="188" spans="1:12" ht="78" x14ac:dyDescent="0.3">
      <c r="A188" s="55">
        <f t="shared" si="10"/>
        <v>139</v>
      </c>
      <c r="B188" s="67">
        <v>43692</v>
      </c>
      <c r="C188" s="67">
        <v>45518</v>
      </c>
      <c r="D188" s="55" t="s">
        <v>916</v>
      </c>
      <c r="E188" s="55" t="s">
        <v>304</v>
      </c>
      <c r="F188" s="55" t="s">
        <v>917</v>
      </c>
      <c r="G188" s="55" t="s">
        <v>834</v>
      </c>
      <c r="H188" s="88" t="s">
        <v>904</v>
      </c>
      <c r="I188" s="56" t="s">
        <v>918</v>
      </c>
      <c r="J188" s="55">
        <v>57.5</v>
      </c>
      <c r="K188" s="55" t="s">
        <v>919</v>
      </c>
      <c r="L188" s="46">
        <f>14.5*J188*1.2*(1+1.2+0.9)*1.2</f>
        <v>3721.86</v>
      </c>
    </row>
    <row r="189" spans="1:12" ht="109.2" x14ac:dyDescent="0.3">
      <c r="A189" s="63">
        <f t="shared" si="10"/>
        <v>140</v>
      </c>
      <c r="B189" s="62" t="s">
        <v>920</v>
      </c>
      <c r="C189" s="62">
        <v>44926</v>
      </c>
      <c r="D189" s="63" t="s">
        <v>921</v>
      </c>
      <c r="E189" s="58" t="s">
        <v>351</v>
      </c>
      <c r="F189" s="58" t="s">
        <v>922</v>
      </c>
      <c r="G189" s="63" t="s">
        <v>834</v>
      </c>
      <c r="H189" s="58" t="s">
        <v>923</v>
      </c>
      <c r="I189" s="59" t="s">
        <v>924</v>
      </c>
      <c r="J189" s="60">
        <v>185.3</v>
      </c>
      <c r="K189" s="58" t="s">
        <v>925</v>
      </c>
      <c r="L189" s="46">
        <f>14.5*J190*1.2*(1+1.2+0.9)*1.2</f>
        <v>1935.3671999999995</v>
      </c>
    </row>
    <row r="190" spans="1:12" ht="109.2" x14ac:dyDescent="0.3">
      <c r="A190" s="44">
        <f t="shared" si="10"/>
        <v>141</v>
      </c>
      <c r="B190" s="43" t="s">
        <v>926</v>
      </c>
      <c r="C190" s="43">
        <v>44926</v>
      </c>
      <c r="D190" s="87" t="s">
        <v>927</v>
      </c>
      <c r="E190" s="87" t="s">
        <v>351</v>
      </c>
      <c r="F190" s="87" t="s">
        <v>928</v>
      </c>
      <c r="G190" s="87" t="s">
        <v>834</v>
      </c>
      <c r="H190" s="87" t="s">
        <v>929</v>
      </c>
      <c r="I190" s="94" t="s">
        <v>930</v>
      </c>
      <c r="J190" s="95">
        <v>29.9</v>
      </c>
      <c r="K190" s="87" t="s">
        <v>931</v>
      </c>
      <c r="L190" s="46">
        <f>14.5*J190*1.2*(1+1.2+0.9)*0.1</f>
        <v>161.28059999999996</v>
      </c>
    </row>
    <row r="191" spans="1:12" ht="124.8" x14ac:dyDescent="0.3">
      <c r="A191" s="44">
        <f t="shared" si="10"/>
        <v>142</v>
      </c>
      <c r="B191" s="43" t="s">
        <v>932</v>
      </c>
      <c r="C191" s="43">
        <v>44927</v>
      </c>
      <c r="D191" s="87" t="s">
        <v>933</v>
      </c>
      <c r="E191" s="87" t="s">
        <v>934</v>
      </c>
      <c r="F191" s="87" t="s">
        <v>935</v>
      </c>
      <c r="G191" s="87" t="s">
        <v>834</v>
      </c>
      <c r="H191" s="87" t="s">
        <v>889</v>
      </c>
      <c r="I191" s="94" t="s">
        <v>936</v>
      </c>
      <c r="J191" s="95">
        <v>28.7</v>
      </c>
      <c r="K191" s="87" t="s">
        <v>937</v>
      </c>
      <c r="L191" s="66">
        <f>14.5*J191*1.2*(1+1.2+0.9)*1.2</f>
        <v>1857.6935999999996</v>
      </c>
    </row>
    <row r="192" spans="1:12" ht="93.6" x14ac:dyDescent="0.3">
      <c r="A192" s="55">
        <f t="shared" si="10"/>
        <v>143</v>
      </c>
      <c r="B192" s="68" t="s">
        <v>938</v>
      </c>
      <c r="C192" s="68">
        <v>44952</v>
      </c>
      <c r="D192" s="55" t="s">
        <v>939</v>
      </c>
      <c r="E192" s="55" t="s">
        <v>940</v>
      </c>
      <c r="F192" s="55" t="s">
        <v>941</v>
      </c>
      <c r="G192" s="55" t="s">
        <v>834</v>
      </c>
      <c r="H192" s="55" t="s">
        <v>942</v>
      </c>
      <c r="I192" s="56" t="s">
        <v>943</v>
      </c>
      <c r="J192" s="55">
        <v>27.3</v>
      </c>
      <c r="K192" s="55" t="s">
        <v>944</v>
      </c>
      <c r="L192" s="46">
        <f>14.5*J192*1.2*(1+1.2+0.9)*0.6</f>
        <v>883.53719999999987</v>
      </c>
    </row>
    <row r="193" spans="1:12" ht="78" x14ac:dyDescent="0.3">
      <c r="A193" s="88">
        <f>A192+1</f>
        <v>144</v>
      </c>
      <c r="B193" s="67">
        <v>44279</v>
      </c>
      <c r="C193" s="67">
        <v>46104</v>
      </c>
      <c r="D193" s="55" t="s">
        <v>945</v>
      </c>
      <c r="E193" s="88" t="s">
        <v>453</v>
      </c>
      <c r="F193" s="55" t="s">
        <v>917</v>
      </c>
      <c r="G193" s="55" t="s">
        <v>834</v>
      </c>
      <c r="H193" s="88" t="s">
        <v>904</v>
      </c>
      <c r="I193" s="56" t="s">
        <v>946</v>
      </c>
      <c r="J193" s="55">
        <v>14.5</v>
      </c>
      <c r="K193" s="55" t="s">
        <v>919</v>
      </c>
      <c r="L193" s="46">
        <f>14.5*J193*1.2*(1+1.2+0.9)*1.2</f>
        <v>938.55599999999993</v>
      </c>
    </row>
    <row r="194" spans="1:12" ht="140.4" x14ac:dyDescent="0.3">
      <c r="A194" s="58">
        <f>A193+1</f>
        <v>145</v>
      </c>
      <c r="B194" s="62" t="s">
        <v>947</v>
      </c>
      <c r="C194" s="62">
        <v>46189</v>
      </c>
      <c r="D194" s="58" t="s">
        <v>948</v>
      </c>
      <c r="E194" s="58" t="s">
        <v>193</v>
      </c>
      <c r="F194" s="58" t="s">
        <v>949</v>
      </c>
      <c r="G194" s="58" t="s">
        <v>834</v>
      </c>
      <c r="H194" s="58" t="s">
        <v>950</v>
      </c>
      <c r="I194" s="59" t="s">
        <v>951</v>
      </c>
      <c r="J194" s="60">
        <v>313.8</v>
      </c>
      <c r="K194" s="58" t="s">
        <v>859</v>
      </c>
      <c r="L194" s="46">
        <f>14.5*J194*1.2*(1+1.2+0.9)*1.2</f>
        <v>20311.646399999998</v>
      </c>
    </row>
    <row r="195" spans="1:12" ht="140.4" x14ac:dyDescent="0.3">
      <c r="A195" s="88">
        <f>A194+1</f>
        <v>146</v>
      </c>
      <c r="B195" s="101">
        <v>44523</v>
      </c>
      <c r="C195" s="101">
        <v>46348</v>
      </c>
      <c r="D195" s="88" t="s">
        <v>952</v>
      </c>
      <c r="E195" s="88" t="s">
        <v>587</v>
      </c>
      <c r="F195" s="88" t="s">
        <v>953</v>
      </c>
      <c r="G195" s="88" t="s">
        <v>834</v>
      </c>
      <c r="H195" s="88" t="s">
        <v>954</v>
      </c>
      <c r="I195" s="89" t="s">
        <v>955</v>
      </c>
      <c r="J195" s="90">
        <v>152.84</v>
      </c>
      <c r="K195" s="88" t="s">
        <v>925</v>
      </c>
      <c r="L195" s="46">
        <f>14.5*J195*1.2*(1+1.2+0.9)*1.2</f>
        <v>9893.0275199999996</v>
      </c>
    </row>
    <row r="199" spans="1:12" x14ac:dyDescent="0.3">
      <c r="B199" s="291" t="s">
        <v>957</v>
      </c>
      <c r="C199" s="291" t="s">
        <v>872</v>
      </c>
      <c r="D199" s="291" t="s">
        <v>999</v>
      </c>
      <c r="E199" s="291" t="s">
        <v>875</v>
      </c>
      <c r="F199" s="291">
        <v>891.64</v>
      </c>
      <c r="G199" s="325">
        <f>O199*3</f>
        <v>0</v>
      </c>
      <c r="H199" s="296">
        <f>O199*3</f>
        <v>0</v>
      </c>
      <c r="I199" s="167" t="s">
        <v>42</v>
      </c>
      <c r="J199" s="162"/>
      <c r="K199" s="162"/>
      <c r="L199" s="313" t="s">
        <v>872</v>
      </c>
    </row>
    <row r="200" spans="1:12" x14ac:dyDescent="0.3">
      <c r="B200" s="291"/>
      <c r="C200" s="311"/>
      <c r="D200" s="311"/>
      <c r="E200" s="312"/>
      <c r="F200" s="312"/>
      <c r="G200" s="326"/>
      <c r="H200" s="297"/>
      <c r="I200" s="167" t="s">
        <v>43</v>
      </c>
      <c r="J200" s="162"/>
      <c r="K200" s="168"/>
      <c r="L200" s="314"/>
    </row>
    <row r="201" spans="1:12" x14ac:dyDescent="0.3">
      <c r="B201" s="291"/>
      <c r="C201" s="311"/>
      <c r="D201" s="311"/>
      <c r="E201" s="312"/>
      <c r="F201" s="312"/>
      <c r="G201" s="326"/>
      <c r="H201" s="297"/>
      <c r="I201" s="167" t="s">
        <v>44</v>
      </c>
      <c r="J201" s="162"/>
      <c r="K201" s="168"/>
      <c r="L201" s="314"/>
    </row>
    <row r="202" spans="1:12" x14ac:dyDescent="0.3">
      <c r="B202" s="291"/>
      <c r="C202" s="311"/>
      <c r="D202" s="311"/>
      <c r="E202" s="312"/>
      <c r="F202" s="312"/>
      <c r="G202" s="326"/>
      <c r="H202" s="297"/>
      <c r="I202" s="167" t="s">
        <v>45</v>
      </c>
      <c r="J202" s="162"/>
      <c r="K202" s="168"/>
      <c r="L202" s="314"/>
    </row>
    <row r="203" spans="1:12" x14ac:dyDescent="0.3">
      <c r="B203" s="291"/>
      <c r="C203" s="311"/>
      <c r="D203" s="311"/>
      <c r="E203" s="312"/>
      <c r="F203" s="312"/>
      <c r="G203" s="327"/>
      <c r="H203" s="297"/>
      <c r="I203" s="167" t="s">
        <v>46</v>
      </c>
      <c r="J203" s="162"/>
      <c r="K203" s="168"/>
      <c r="L203" s="314"/>
    </row>
    <row r="204" spans="1:12" x14ac:dyDescent="0.3">
      <c r="B204" s="291" t="s">
        <v>957</v>
      </c>
      <c r="C204" s="291" t="s">
        <v>877</v>
      </c>
      <c r="D204" s="291" t="s">
        <v>1000</v>
      </c>
      <c r="E204" s="291" t="s">
        <v>859</v>
      </c>
      <c r="F204" s="291">
        <v>53.5</v>
      </c>
      <c r="G204" s="296">
        <f>O204*12</f>
        <v>0</v>
      </c>
      <c r="H204" s="296">
        <f>O204*3</f>
        <v>0</v>
      </c>
      <c r="I204" s="305" t="s">
        <v>42</v>
      </c>
      <c r="J204" s="307"/>
      <c r="K204" s="307"/>
      <c r="L204" s="317" t="s">
        <v>877</v>
      </c>
    </row>
    <row r="205" spans="1:12" x14ac:dyDescent="0.3">
      <c r="B205" s="291"/>
      <c r="C205" s="311"/>
      <c r="D205" s="311"/>
      <c r="E205" s="312"/>
      <c r="F205" s="312"/>
      <c r="G205" s="297"/>
      <c r="H205" s="297"/>
      <c r="I205" s="306"/>
      <c r="J205" s="308"/>
      <c r="K205" s="308"/>
      <c r="L205" s="299"/>
    </row>
    <row r="206" spans="1:12" x14ac:dyDescent="0.3">
      <c r="B206" s="291"/>
      <c r="C206" s="311"/>
      <c r="D206" s="311"/>
      <c r="E206" s="312"/>
      <c r="F206" s="312"/>
      <c r="G206" s="297"/>
      <c r="H206" s="297"/>
      <c r="I206" s="305" t="s">
        <v>43</v>
      </c>
      <c r="J206" s="307"/>
      <c r="K206" s="307"/>
      <c r="L206" s="299"/>
    </row>
    <row r="207" spans="1:12" x14ac:dyDescent="0.3">
      <c r="B207" s="291"/>
      <c r="C207" s="311"/>
      <c r="D207" s="311"/>
      <c r="E207" s="312"/>
      <c r="F207" s="312"/>
      <c r="G207" s="297"/>
      <c r="H207" s="297"/>
      <c r="I207" s="306"/>
      <c r="J207" s="308"/>
      <c r="K207" s="308"/>
      <c r="L207" s="299"/>
    </row>
    <row r="208" spans="1:12" x14ac:dyDescent="0.3">
      <c r="B208" s="291"/>
      <c r="C208" s="311"/>
      <c r="D208" s="311"/>
      <c r="E208" s="312"/>
      <c r="F208" s="312"/>
      <c r="G208" s="297"/>
      <c r="H208" s="297"/>
      <c r="I208" s="305" t="s">
        <v>45</v>
      </c>
      <c r="J208" s="307"/>
      <c r="K208" s="307"/>
      <c r="L208" s="299"/>
    </row>
    <row r="209" spans="2:12" x14ac:dyDescent="0.3">
      <c r="B209" s="291" t="s">
        <v>957</v>
      </c>
      <c r="C209" s="291" t="s">
        <v>877</v>
      </c>
      <c r="D209" s="302" t="s">
        <v>1001</v>
      </c>
      <c r="E209" s="302" t="s">
        <v>859</v>
      </c>
      <c r="F209" s="317">
        <v>73</v>
      </c>
      <c r="G209" s="296">
        <f>O209*12</f>
        <v>0</v>
      </c>
      <c r="H209" s="296">
        <f>O209*3</f>
        <v>0</v>
      </c>
      <c r="I209" s="306"/>
      <c r="J209" s="308"/>
      <c r="K209" s="308"/>
      <c r="L209" s="328"/>
    </row>
    <row r="210" spans="2:12" x14ac:dyDescent="0.3">
      <c r="B210" s="291"/>
      <c r="C210" s="311"/>
      <c r="D210" s="293"/>
      <c r="E210" s="294"/>
      <c r="F210" s="294"/>
      <c r="G210" s="297"/>
      <c r="H210" s="297"/>
      <c r="I210" s="305" t="s">
        <v>44</v>
      </c>
      <c r="J210" s="307"/>
      <c r="K210" s="307"/>
      <c r="L210" s="328"/>
    </row>
    <row r="211" spans="2:12" x14ac:dyDescent="0.3">
      <c r="B211" s="291"/>
      <c r="C211" s="311"/>
      <c r="D211" s="293"/>
      <c r="E211" s="294"/>
      <c r="F211" s="294"/>
      <c r="G211" s="297"/>
      <c r="H211" s="297"/>
      <c r="I211" s="306"/>
      <c r="J211" s="308"/>
      <c r="K211" s="308"/>
      <c r="L211" s="328"/>
    </row>
    <row r="212" spans="2:12" x14ac:dyDescent="0.3">
      <c r="B212" s="291"/>
      <c r="C212" s="311"/>
      <c r="D212" s="293"/>
      <c r="E212" s="294"/>
      <c r="F212" s="294"/>
      <c r="G212" s="297"/>
      <c r="H212" s="297"/>
      <c r="I212" s="323" t="s">
        <v>46</v>
      </c>
      <c r="J212" s="307"/>
      <c r="K212" s="307"/>
      <c r="L212" s="328"/>
    </row>
    <row r="213" spans="2:12" x14ac:dyDescent="0.3">
      <c r="B213" s="291"/>
      <c r="C213" s="311"/>
      <c r="D213" s="293"/>
      <c r="E213" s="294"/>
      <c r="F213" s="294"/>
      <c r="G213" s="297"/>
      <c r="H213" s="297"/>
      <c r="I213" s="324"/>
      <c r="J213" s="308"/>
      <c r="K213" s="308"/>
      <c r="L213" s="310"/>
    </row>
    <row r="214" spans="2:12" x14ac:dyDescent="0.3">
      <c r="B214" s="291" t="s">
        <v>957</v>
      </c>
      <c r="C214" s="291" t="s">
        <v>305</v>
      </c>
      <c r="D214" s="291" t="s">
        <v>1002</v>
      </c>
      <c r="E214" s="319" t="s">
        <v>901</v>
      </c>
      <c r="F214" s="291">
        <v>14.9</v>
      </c>
      <c r="G214" s="296">
        <f>O214*12</f>
        <v>0</v>
      </c>
      <c r="H214" s="296">
        <f>O214*3</f>
        <v>0</v>
      </c>
      <c r="I214" s="161" t="s">
        <v>42</v>
      </c>
      <c r="J214" s="163"/>
      <c r="K214" s="163"/>
      <c r="L214" s="313" t="s">
        <v>305</v>
      </c>
    </row>
    <row r="215" spans="2:12" x14ac:dyDescent="0.3">
      <c r="B215" s="291"/>
      <c r="C215" s="311"/>
      <c r="D215" s="311"/>
      <c r="E215" s="320"/>
      <c r="F215" s="312"/>
      <c r="G215" s="297"/>
      <c r="H215" s="297"/>
      <c r="I215" s="167" t="s">
        <v>43</v>
      </c>
      <c r="J215" s="162"/>
      <c r="K215" s="162"/>
      <c r="L215" s="314"/>
    </row>
    <row r="216" spans="2:12" x14ac:dyDescent="0.3">
      <c r="B216" s="291"/>
      <c r="C216" s="311"/>
      <c r="D216" s="311"/>
      <c r="E216" s="320"/>
      <c r="F216" s="312"/>
      <c r="G216" s="297"/>
      <c r="H216" s="297"/>
      <c r="I216" s="167" t="s">
        <v>44</v>
      </c>
      <c r="J216" s="162"/>
      <c r="K216" s="168"/>
      <c r="L216" s="314"/>
    </row>
    <row r="217" spans="2:12" x14ac:dyDescent="0.3">
      <c r="B217" s="291"/>
      <c r="C217" s="311"/>
      <c r="D217" s="311"/>
      <c r="E217" s="320"/>
      <c r="F217" s="312"/>
      <c r="G217" s="297"/>
      <c r="H217" s="297"/>
      <c r="I217" s="167" t="s">
        <v>45</v>
      </c>
      <c r="J217" s="162"/>
      <c r="K217" s="162"/>
      <c r="L217" s="314"/>
    </row>
    <row r="218" spans="2:12" x14ac:dyDescent="0.3">
      <c r="B218" s="291"/>
      <c r="C218" s="311"/>
      <c r="D218" s="311"/>
      <c r="E218" s="320"/>
      <c r="F218" s="312"/>
      <c r="G218" s="297"/>
      <c r="H218" s="297"/>
      <c r="I218" s="167" t="s">
        <v>46</v>
      </c>
      <c r="J218" s="162"/>
      <c r="K218" s="168"/>
      <c r="L218" s="314"/>
    </row>
    <row r="219" spans="2:12" x14ac:dyDescent="0.3">
      <c r="B219" s="291" t="s">
        <v>957</v>
      </c>
      <c r="C219" s="315" t="s">
        <v>820</v>
      </c>
      <c r="D219" s="315" t="s">
        <v>1003</v>
      </c>
      <c r="E219" s="291" t="s">
        <v>530</v>
      </c>
      <c r="F219" s="321">
        <v>52.94</v>
      </c>
      <c r="G219" s="296">
        <f>O219*12</f>
        <v>0</v>
      </c>
      <c r="H219" s="296">
        <f>O219*3</f>
        <v>0</v>
      </c>
      <c r="I219" s="167" t="s">
        <v>42</v>
      </c>
      <c r="J219" s="162"/>
      <c r="K219" s="162"/>
      <c r="L219" s="322" t="s">
        <v>820</v>
      </c>
    </row>
    <row r="220" spans="2:12" x14ac:dyDescent="0.3">
      <c r="B220" s="291"/>
      <c r="C220" s="311"/>
      <c r="D220" s="311"/>
      <c r="E220" s="312"/>
      <c r="F220" s="312"/>
      <c r="G220" s="297"/>
      <c r="H220" s="297"/>
      <c r="I220" s="167" t="s">
        <v>43</v>
      </c>
      <c r="J220" s="162"/>
      <c r="K220" s="168"/>
      <c r="L220" s="314"/>
    </row>
    <row r="221" spans="2:12" x14ac:dyDescent="0.3">
      <c r="B221" s="291"/>
      <c r="C221" s="311"/>
      <c r="D221" s="311"/>
      <c r="E221" s="312"/>
      <c r="F221" s="312"/>
      <c r="G221" s="297"/>
      <c r="H221" s="297"/>
      <c r="I221" s="167" t="s">
        <v>44</v>
      </c>
      <c r="J221" s="162"/>
      <c r="K221" s="168"/>
      <c r="L221" s="314"/>
    </row>
    <row r="222" spans="2:12" x14ac:dyDescent="0.3">
      <c r="B222" s="291"/>
      <c r="C222" s="311"/>
      <c r="D222" s="311"/>
      <c r="E222" s="312"/>
      <c r="F222" s="312"/>
      <c r="G222" s="297"/>
      <c r="H222" s="297"/>
      <c r="I222" s="167" t="s">
        <v>45</v>
      </c>
      <c r="J222" s="162"/>
      <c r="K222" s="168"/>
      <c r="L222" s="314"/>
    </row>
    <row r="223" spans="2:12" x14ac:dyDescent="0.3">
      <c r="B223" s="291"/>
      <c r="C223" s="311"/>
      <c r="D223" s="311"/>
      <c r="E223" s="312"/>
      <c r="F223" s="312"/>
      <c r="G223" s="297"/>
      <c r="H223" s="297"/>
      <c r="I223" s="167" t="s">
        <v>46</v>
      </c>
      <c r="J223" s="162"/>
      <c r="K223" s="168"/>
      <c r="L223" s="314"/>
    </row>
    <row r="224" spans="2:12" x14ac:dyDescent="0.3">
      <c r="B224" s="291" t="s">
        <v>957</v>
      </c>
      <c r="C224" s="291" t="s">
        <v>941</v>
      </c>
      <c r="D224" s="291" t="s">
        <v>1004</v>
      </c>
      <c r="E224" s="291" t="s">
        <v>944</v>
      </c>
      <c r="F224" s="291">
        <v>27.3</v>
      </c>
      <c r="G224" s="296">
        <f>O224*12</f>
        <v>0</v>
      </c>
      <c r="H224" s="296">
        <f>O224*3</f>
        <v>0</v>
      </c>
      <c r="I224" s="161" t="s">
        <v>42</v>
      </c>
      <c r="J224" s="163"/>
      <c r="K224" s="164"/>
      <c r="L224" s="313" t="s">
        <v>941</v>
      </c>
    </row>
    <row r="225" spans="2:12" x14ac:dyDescent="0.3">
      <c r="B225" s="291"/>
      <c r="C225" s="311"/>
      <c r="D225" s="311"/>
      <c r="E225" s="312"/>
      <c r="F225" s="312"/>
      <c r="G225" s="297"/>
      <c r="H225" s="297"/>
      <c r="I225" s="167" t="s">
        <v>43</v>
      </c>
      <c r="J225" s="162"/>
      <c r="K225" s="168"/>
      <c r="L225" s="314"/>
    </row>
    <row r="226" spans="2:12" x14ac:dyDescent="0.3">
      <c r="B226" s="291"/>
      <c r="C226" s="311"/>
      <c r="D226" s="311"/>
      <c r="E226" s="312"/>
      <c r="F226" s="312"/>
      <c r="G226" s="297"/>
      <c r="H226" s="297"/>
      <c r="I226" s="166" t="s">
        <v>44</v>
      </c>
      <c r="J226" s="165"/>
      <c r="K226" s="169"/>
      <c r="L226" s="314"/>
    </row>
    <row r="227" spans="2:12" x14ac:dyDescent="0.3">
      <c r="B227" s="291"/>
      <c r="C227" s="311"/>
      <c r="D227" s="311"/>
      <c r="E227" s="312"/>
      <c r="F227" s="312"/>
      <c r="G227" s="297"/>
      <c r="H227" s="297"/>
      <c r="I227" s="167" t="s">
        <v>45</v>
      </c>
      <c r="J227" s="162"/>
      <c r="K227" s="168"/>
      <c r="L227" s="314"/>
    </row>
    <row r="228" spans="2:12" x14ac:dyDescent="0.3">
      <c r="B228" s="291"/>
      <c r="C228" s="311"/>
      <c r="D228" s="311"/>
      <c r="E228" s="312"/>
      <c r="F228" s="312"/>
      <c r="G228" s="297"/>
      <c r="H228" s="297"/>
      <c r="I228" s="167" t="s">
        <v>46</v>
      </c>
      <c r="J228" s="162"/>
      <c r="K228" s="168"/>
      <c r="L228" s="314"/>
    </row>
    <row r="229" spans="2:12" x14ac:dyDescent="0.3">
      <c r="B229" s="291" t="s">
        <v>957</v>
      </c>
      <c r="C229" s="291" t="s">
        <v>917</v>
      </c>
      <c r="D229" s="315" t="s">
        <v>1005</v>
      </c>
      <c r="E229" s="291" t="s">
        <v>919</v>
      </c>
      <c r="F229" s="291">
        <v>14.5</v>
      </c>
      <c r="G229" s="296">
        <f>O229*9</f>
        <v>0</v>
      </c>
      <c r="H229" s="296">
        <f>O229*3</f>
        <v>0</v>
      </c>
      <c r="I229" s="305" t="s">
        <v>42</v>
      </c>
      <c r="J229" s="300"/>
      <c r="K229" s="316"/>
      <c r="L229" s="317" t="s">
        <v>917</v>
      </c>
    </row>
    <row r="230" spans="2:12" x14ac:dyDescent="0.3">
      <c r="B230" s="291"/>
      <c r="C230" s="311"/>
      <c r="D230" s="311"/>
      <c r="E230" s="312"/>
      <c r="F230" s="312"/>
      <c r="G230" s="297"/>
      <c r="H230" s="297"/>
      <c r="I230" s="306"/>
      <c r="J230" s="301"/>
      <c r="K230" s="301"/>
      <c r="L230" s="299"/>
    </row>
    <row r="231" spans="2:12" x14ac:dyDescent="0.3">
      <c r="B231" s="291"/>
      <c r="C231" s="311"/>
      <c r="D231" s="311"/>
      <c r="E231" s="312"/>
      <c r="F231" s="312"/>
      <c r="G231" s="297"/>
      <c r="H231" s="297"/>
      <c r="I231" s="305" t="s">
        <v>43</v>
      </c>
      <c r="J231" s="300"/>
      <c r="K231" s="316"/>
      <c r="L231" s="299"/>
    </row>
    <row r="232" spans="2:12" x14ac:dyDescent="0.3">
      <c r="B232" s="291"/>
      <c r="C232" s="311"/>
      <c r="D232" s="311"/>
      <c r="E232" s="312"/>
      <c r="F232" s="312"/>
      <c r="G232" s="297"/>
      <c r="H232" s="297"/>
      <c r="I232" s="306"/>
      <c r="J232" s="301"/>
      <c r="K232" s="301"/>
      <c r="L232" s="299"/>
    </row>
    <row r="233" spans="2:12" x14ac:dyDescent="0.3">
      <c r="B233" s="291"/>
      <c r="C233" s="311"/>
      <c r="D233" s="311"/>
      <c r="E233" s="312"/>
      <c r="F233" s="312"/>
      <c r="G233" s="297"/>
      <c r="H233" s="297"/>
      <c r="I233" s="305" t="s">
        <v>44</v>
      </c>
      <c r="J233" s="300"/>
      <c r="K233" s="300"/>
      <c r="L233" s="299"/>
    </row>
    <row r="234" spans="2:12" x14ac:dyDescent="0.3">
      <c r="B234" s="291" t="s">
        <v>957</v>
      </c>
      <c r="C234" s="302" t="s">
        <v>917</v>
      </c>
      <c r="D234" s="292" t="s">
        <v>1122</v>
      </c>
      <c r="E234" s="302" t="s">
        <v>919</v>
      </c>
      <c r="F234" s="302">
        <v>57.5</v>
      </c>
      <c r="G234" s="296">
        <f>O234*9</f>
        <v>0</v>
      </c>
      <c r="H234" s="296">
        <f>O234*3</f>
        <v>0</v>
      </c>
      <c r="I234" s="306"/>
      <c r="J234" s="301"/>
      <c r="K234" s="301"/>
      <c r="L234" s="318"/>
    </row>
    <row r="235" spans="2:12" x14ac:dyDescent="0.3">
      <c r="B235" s="291"/>
      <c r="C235" s="303"/>
      <c r="D235" s="303"/>
      <c r="E235" s="303"/>
      <c r="F235" s="303"/>
      <c r="G235" s="297"/>
      <c r="H235" s="297"/>
      <c r="I235" s="305" t="s">
        <v>45</v>
      </c>
      <c r="J235" s="307"/>
      <c r="K235" s="309"/>
      <c r="L235" s="318"/>
    </row>
    <row r="236" spans="2:12" x14ac:dyDescent="0.3">
      <c r="B236" s="291"/>
      <c r="C236" s="303"/>
      <c r="D236" s="303"/>
      <c r="E236" s="303"/>
      <c r="F236" s="303"/>
      <c r="G236" s="297"/>
      <c r="H236" s="297"/>
      <c r="I236" s="306"/>
      <c r="J236" s="308"/>
      <c r="K236" s="310"/>
      <c r="L236" s="318"/>
    </row>
    <row r="237" spans="2:12" x14ac:dyDescent="0.3">
      <c r="B237" s="291"/>
      <c r="C237" s="303"/>
      <c r="D237" s="303"/>
      <c r="E237" s="303"/>
      <c r="F237" s="303"/>
      <c r="G237" s="297"/>
      <c r="H237" s="297"/>
      <c r="I237" s="305" t="s">
        <v>46</v>
      </c>
      <c r="J237" s="307"/>
      <c r="K237" s="309"/>
      <c r="L237" s="318"/>
    </row>
    <row r="238" spans="2:12" x14ac:dyDescent="0.3">
      <c r="B238" s="291"/>
      <c r="C238" s="304"/>
      <c r="D238" s="304"/>
      <c r="E238" s="304"/>
      <c r="F238" s="304"/>
      <c r="G238" s="297"/>
      <c r="H238" s="297"/>
      <c r="I238" s="306"/>
      <c r="J238" s="308"/>
      <c r="K238" s="310"/>
      <c r="L238" s="308"/>
    </row>
    <row r="239" spans="2:12" x14ac:dyDescent="0.3">
      <c r="B239" s="291" t="s">
        <v>957</v>
      </c>
      <c r="C239" s="292" t="s">
        <v>953</v>
      </c>
      <c r="D239" s="292" t="s">
        <v>1006</v>
      </c>
      <c r="E239" s="292" t="s">
        <v>925</v>
      </c>
      <c r="F239" s="295">
        <v>152.84</v>
      </c>
      <c r="G239" s="296">
        <f>O239*9</f>
        <v>0</v>
      </c>
      <c r="H239" s="296">
        <f>O239*3</f>
        <v>0</v>
      </c>
      <c r="I239" s="161" t="s">
        <v>42</v>
      </c>
      <c r="J239" s="163"/>
      <c r="K239" s="164"/>
      <c r="L239" s="298" t="s">
        <v>953</v>
      </c>
    </row>
    <row r="240" spans="2:12" x14ac:dyDescent="0.3">
      <c r="B240" s="291"/>
      <c r="C240" s="293"/>
      <c r="D240" s="293"/>
      <c r="E240" s="294"/>
      <c r="F240" s="294"/>
      <c r="G240" s="297"/>
      <c r="H240" s="297"/>
      <c r="I240" s="167" t="s">
        <v>43</v>
      </c>
      <c r="J240" s="162"/>
      <c r="K240" s="168"/>
      <c r="L240" s="299"/>
    </row>
    <row r="241" spans="2:12" x14ac:dyDescent="0.3">
      <c r="B241" s="291"/>
      <c r="C241" s="293"/>
      <c r="D241" s="293"/>
      <c r="E241" s="294"/>
      <c r="F241" s="294"/>
      <c r="G241" s="297"/>
      <c r="H241" s="297"/>
      <c r="I241" s="167" t="s">
        <v>44</v>
      </c>
      <c r="J241" s="162"/>
      <c r="K241" s="168"/>
      <c r="L241" s="299"/>
    </row>
    <row r="242" spans="2:12" x14ac:dyDescent="0.3">
      <c r="B242" s="291"/>
      <c r="C242" s="293"/>
      <c r="D242" s="293"/>
      <c r="E242" s="294"/>
      <c r="F242" s="294"/>
      <c r="G242" s="297"/>
      <c r="H242" s="297"/>
      <c r="I242" s="167" t="s">
        <v>45</v>
      </c>
      <c r="J242" s="162"/>
      <c r="K242" s="168"/>
      <c r="L242" s="299"/>
    </row>
    <row r="243" spans="2:12" x14ac:dyDescent="0.3">
      <c r="B243" s="291"/>
      <c r="C243" s="293"/>
      <c r="D243" s="293"/>
      <c r="E243" s="294"/>
      <c r="F243" s="294"/>
      <c r="G243" s="297"/>
      <c r="H243" s="297"/>
      <c r="I243" s="167" t="s">
        <v>46</v>
      </c>
      <c r="J243" s="162"/>
      <c r="K243" s="168"/>
      <c r="L243" s="299"/>
    </row>
  </sheetData>
  <mergeCells count="205">
    <mergeCell ref="H138:I138"/>
    <mergeCell ref="H152:I152"/>
    <mergeCell ref="A154:K154"/>
    <mergeCell ref="A159:K159"/>
    <mergeCell ref="A169:K169"/>
    <mergeCell ref="G112:G116"/>
    <mergeCell ref="K112:K116"/>
    <mergeCell ref="A117:K117"/>
    <mergeCell ref="A119:L119"/>
    <mergeCell ref="A122:L122"/>
    <mergeCell ref="A130:K130"/>
    <mergeCell ref="A112:A116"/>
    <mergeCell ref="B112:B116"/>
    <mergeCell ref="C112:C116"/>
    <mergeCell ref="D112:D116"/>
    <mergeCell ref="E112:E116"/>
    <mergeCell ref="F112:F116"/>
    <mergeCell ref="G100:G101"/>
    <mergeCell ref="K100:K101"/>
    <mergeCell ref="A106:A107"/>
    <mergeCell ref="B106:B107"/>
    <mergeCell ref="C106:C107"/>
    <mergeCell ref="D106:D107"/>
    <mergeCell ref="E106:E107"/>
    <mergeCell ref="F106:F107"/>
    <mergeCell ref="G106:G107"/>
    <mergeCell ref="A100:A101"/>
    <mergeCell ref="B100:B101"/>
    <mergeCell ref="C100:C101"/>
    <mergeCell ref="D100:D101"/>
    <mergeCell ref="E100:E101"/>
    <mergeCell ref="F100:F101"/>
    <mergeCell ref="G77:G79"/>
    <mergeCell ref="K77:K79"/>
    <mergeCell ref="A83:A84"/>
    <mergeCell ref="B83:B84"/>
    <mergeCell ref="C83:C84"/>
    <mergeCell ref="D83:D84"/>
    <mergeCell ref="E83:E84"/>
    <mergeCell ref="F83:F84"/>
    <mergeCell ref="G83:G84"/>
    <mergeCell ref="K83:K84"/>
    <mergeCell ref="A77:A79"/>
    <mergeCell ref="B77:B79"/>
    <mergeCell ref="C77:C79"/>
    <mergeCell ref="D77:D79"/>
    <mergeCell ref="E77:E79"/>
    <mergeCell ref="F77:F79"/>
    <mergeCell ref="K62:K64"/>
    <mergeCell ref="A69:A70"/>
    <mergeCell ref="B69:B70"/>
    <mergeCell ref="C69:C70"/>
    <mergeCell ref="D69:D70"/>
    <mergeCell ref="E69:E70"/>
    <mergeCell ref="F69:F70"/>
    <mergeCell ref="G69:G70"/>
    <mergeCell ref="K69:K70"/>
    <mergeCell ref="G35:G45"/>
    <mergeCell ref="A62:A64"/>
    <mergeCell ref="B62:B64"/>
    <mergeCell ref="C62:C64"/>
    <mergeCell ref="D62:D64"/>
    <mergeCell ref="E62:E64"/>
    <mergeCell ref="F62:F64"/>
    <mergeCell ref="G62:G64"/>
    <mergeCell ref="A35:A45"/>
    <mergeCell ref="B35:B45"/>
    <mergeCell ref="C35:C45"/>
    <mergeCell ref="D35:D45"/>
    <mergeCell ref="E35:E45"/>
    <mergeCell ref="F35:F45"/>
    <mergeCell ref="G17:G22"/>
    <mergeCell ref="A25:A34"/>
    <mergeCell ref="B25:B34"/>
    <mergeCell ref="C25:C34"/>
    <mergeCell ref="D25:D34"/>
    <mergeCell ref="E25:E34"/>
    <mergeCell ref="F25:F34"/>
    <mergeCell ref="G25:G34"/>
    <mergeCell ref="A17:A22"/>
    <mergeCell ref="B17:B22"/>
    <mergeCell ref="C17:C22"/>
    <mergeCell ref="D17:D22"/>
    <mergeCell ref="E17:E22"/>
    <mergeCell ref="F17:F22"/>
    <mergeCell ref="L2:L3"/>
    <mergeCell ref="A4:L4"/>
    <mergeCell ref="A11:A13"/>
    <mergeCell ref="B11:B13"/>
    <mergeCell ref="C11:C13"/>
    <mergeCell ref="D11:D13"/>
    <mergeCell ref="E11:E13"/>
    <mergeCell ref="F11:F13"/>
    <mergeCell ref="G11:G13"/>
    <mergeCell ref="K11:K13"/>
    <mergeCell ref="A1:K1"/>
    <mergeCell ref="A2:A3"/>
    <mergeCell ref="B2:C2"/>
    <mergeCell ref="D2:E2"/>
    <mergeCell ref="F2:F3"/>
    <mergeCell ref="G2:G3"/>
    <mergeCell ref="H2:H3"/>
    <mergeCell ref="I2:I3"/>
    <mergeCell ref="J2:J3"/>
    <mergeCell ref="K2:K3"/>
    <mergeCell ref="B199:B203"/>
    <mergeCell ref="C199:C203"/>
    <mergeCell ref="D199:D203"/>
    <mergeCell ref="E199:E203"/>
    <mergeCell ref="F199:F203"/>
    <mergeCell ref="G199:G203"/>
    <mergeCell ref="H199:H203"/>
    <mergeCell ref="L199:L203"/>
    <mergeCell ref="B204:B208"/>
    <mergeCell ref="C204:C208"/>
    <mergeCell ref="D204:D208"/>
    <mergeCell ref="E204:E208"/>
    <mergeCell ref="F204:F208"/>
    <mergeCell ref="G204:G208"/>
    <mergeCell ref="H204:H208"/>
    <mergeCell ref="I204:I205"/>
    <mergeCell ref="J204:J205"/>
    <mergeCell ref="K204:K205"/>
    <mergeCell ref="L204:L213"/>
    <mergeCell ref="I206:I207"/>
    <mergeCell ref="J206:J207"/>
    <mergeCell ref="K206:K207"/>
    <mergeCell ref="I208:I209"/>
    <mergeCell ref="J208:J209"/>
    <mergeCell ref="K208:K209"/>
    <mergeCell ref="B209:B213"/>
    <mergeCell ref="C209:C213"/>
    <mergeCell ref="D209:D213"/>
    <mergeCell ref="E209:E213"/>
    <mergeCell ref="F209:F213"/>
    <mergeCell ref="G209:G213"/>
    <mergeCell ref="H209:H213"/>
    <mergeCell ref="I210:I211"/>
    <mergeCell ref="J210:J211"/>
    <mergeCell ref="K210:K211"/>
    <mergeCell ref="I212:I213"/>
    <mergeCell ref="J212:J213"/>
    <mergeCell ref="K212:K213"/>
    <mergeCell ref="B214:B218"/>
    <mergeCell ref="C214:C218"/>
    <mergeCell ref="D214:D218"/>
    <mergeCell ref="E214:E218"/>
    <mergeCell ref="F214:F218"/>
    <mergeCell ref="G214:G218"/>
    <mergeCell ref="H214:H218"/>
    <mergeCell ref="L214:L218"/>
    <mergeCell ref="B219:B223"/>
    <mergeCell ref="C219:C223"/>
    <mergeCell ref="D219:D223"/>
    <mergeCell ref="E219:E223"/>
    <mergeCell ref="F219:F223"/>
    <mergeCell ref="G219:G223"/>
    <mergeCell ref="H219:H223"/>
    <mergeCell ref="L219:L223"/>
    <mergeCell ref="B224:B228"/>
    <mergeCell ref="C224:C228"/>
    <mergeCell ref="D224:D228"/>
    <mergeCell ref="E224:E228"/>
    <mergeCell ref="F224:F228"/>
    <mergeCell ref="G224:G228"/>
    <mergeCell ref="H224:H228"/>
    <mergeCell ref="L224:L228"/>
    <mergeCell ref="B229:B233"/>
    <mergeCell ref="C229:C233"/>
    <mergeCell ref="D229:D233"/>
    <mergeCell ref="E229:E233"/>
    <mergeCell ref="F229:F233"/>
    <mergeCell ref="G229:G233"/>
    <mergeCell ref="H229:H233"/>
    <mergeCell ref="I229:I230"/>
    <mergeCell ref="J229:J230"/>
    <mergeCell ref="K229:K230"/>
    <mergeCell ref="L229:L238"/>
    <mergeCell ref="I231:I232"/>
    <mergeCell ref="J231:J232"/>
    <mergeCell ref="K231:K232"/>
    <mergeCell ref="I233:I234"/>
    <mergeCell ref="J233:J234"/>
    <mergeCell ref="B239:B243"/>
    <mergeCell ref="C239:C243"/>
    <mergeCell ref="D239:D243"/>
    <mergeCell ref="E239:E243"/>
    <mergeCell ref="F239:F243"/>
    <mergeCell ref="G239:G243"/>
    <mergeCell ref="H239:H243"/>
    <mergeCell ref="L239:L243"/>
    <mergeCell ref="K233:K234"/>
    <mergeCell ref="B234:B238"/>
    <mergeCell ref="C234:C238"/>
    <mergeCell ref="D234:D238"/>
    <mergeCell ref="E234:E238"/>
    <mergeCell ref="F234:F238"/>
    <mergeCell ref="G234:G238"/>
    <mergeCell ref="H234:H238"/>
    <mergeCell ref="I235:I236"/>
    <mergeCell ref="J235:J236"/>
    <mergeCell ref="K235:K236"/>
    <mergeCell ref="I237:I238"/>
    <mergeCell ref="J237:J238"/>
    <mergeCell ref="K237:K23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Инф. о рез-х сдачи в аренду</vt:lpstr>
      <vt:lpstr>Инф. о передачи в безвозм. поль</vt:lpstr>
      <vt:lpstr>Лист3</vt:lpstr>
      <vt:lpstr>'Инф. о передачи в безвозм. поль'!Заголовки_для_печати</vt:lpstr>
      <vt:lpstr>'Инф. о передачи в безвозм. поль'!Область_печати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2022-10-27T11:32:12Z</dcterms:modified>
</cp:coreProperties>
</file>