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9660"/>
  </bookViews>
  <sheets>
    <sheet name="Инф. о передачи в безвозм. поль" sheetId="2" r:id="rId1"/>
  </sheets>
  <definedNames>
    <definedName name="_xlnm.Print_Titles" localSheetId="0">'Инф. о передачи в безвозм. поль'!$5:$7</definedName>
    <definedName name="_xlnm.Print_Area" localSheetId="0">'Инф. о передачи в безвозм. поль'!$A$1:$Q$920</definedName>
  </definedNames>
  <calcPr calcId="145621"/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21" i="2"/>
  <c r="S27" i="2"/>
  <c r="S33" i="2"/>
  <c r="S39" i="2"/>
  <c r="S45" i="2"/>
  <c r="S51" i="2"/>
  <c r="S57" i="2"/>
  <c r="S63" i="2"/>
  <c r="S69" i="2"/>
  <c r="S75" i="2"/>
  <c r="S81" i="2"/>
  <c r="S82" i="2"/>
  <c r="S83" i="2"/>
  <c r="S84" i="2"/>
  <c r="S86" i="2"/>
  <c r="S87" i="2"/>
  <c r="S93" i="2"/>
  <c r="S99" i="2"/>
  <c r="S105" i="2"/>
  <c r="S111" i="2"/>
  <c r="S117" i="2"/>
  <c r="S123" i="2"/>
  <c r="S129" i="2"/>
  <c r="S135" i="2"/>
  <c r="S141" i="2"/>
  <c r="S147" i="2"/>
  <c r="S153" i="2"/>
  <c r="S159" i="2"/>
  <c r="S165" i="2"/>
  <c r="S171" i="2"/>
  <c r="S177" i="2"/>
  <c r="S183" i="2"/>
  <c r="S189" i="2"/>
  <c r="S195" i="2"/>
  <c r="S201" i="2"/>
  <c r="S207" i="2"/>
  <c r="S219" i="2"/>
  <c r="S225" i="2"/>
  <c r="S230" i="2"/>
  <c r="S237" i="2"/>
  <c r="S243" i="2"/>
  <c r="S249" i="2"/>
  <c r="S255" i="2"/>
  <c r="S260" i="2"/>
  <c r="S267" i="2"/>
  <c r="S273" i="2"/>
  <c r="S279" i="2"/>
  <c r="S285" i="2"/>
  <c r="S288" i="2"/>
  <c r="S299" i="2"/>
  <c r="S305" i="2"/>
  <c r="S311" i="2"/>
  <c r="S317" i="2"/>
  <c r="S323" i="2"/>
  <c r="S329" i="2"/>
  <c r="S335" i="2"/>
  <c r="S341" i="2"/>
  <c r="S347" i="2"/>
  <c r="S353" i="2"/>
  <c r="S359" i="2"/>
  <c r="S365" i="2"/>
  <c r="S367" i="2"/>
  <c r="S371" i="2"/>
  <c r="S377" i="2"/>
  <c r="S383" i="2"/>
  <c r="S389" i="2"/>
  <c r="S395" i="2"/>
  <c r="S401" i="2"/>
  <c r="S407" i="2"/>
  <c r="S413" i="2"/>
  <c r="S431" i="2"/>
  <c r="S437" i="2"/>
  <c r="S443" i="2"/>
  <c r="S449" i="2"/>
  <c r="S455" i="2"/>
  <c r="S461" i="2"/>
  <c r="S467" i="2"/>
  <c r="S473" i="2"/>
  <c r="S479" i="2"/>
  <c r="S491" i="2"/>
  <c r="S497" i="2"/>
  <c r="S503" i="2"/>
  <c r="S509" i="2"/>
  <c r="S515" i="2"/>
  <c r="S521" i="2"/>
  <c r="S527" i="2"/>
  <c r="S529" i="2"/>
  <c r="S532" i="2"/>
  <c r="S533" i="2"/>
  <c r="S539" i="2"/>
  <c r="S545" i="2"/>
  <c r="S551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91" i="2"/>
  <c r="S597" i="2"/>
  <c r="S603" i="2"/>
  <c r="S609" i="2"/>
  <c r="S615" i="2"/>
  <c r="S621" i="2"/>
  <c r="S627" i="2"/>
  <c r="S633" i="2"/>
  <c r="S639" i="2"/>
  <c r="S645" i="2"/>
  <c r="S651" i="2"/>
  <c r="S657" i="2"/>
  <c r="S663" i="2"/>
  <c r="S669" i="2"/>
  <c r="S675" i="2"/>
  <c r="S681" i="2"/>
  <c r="S687" i="2"/>
  <c r="S693" i="2"/>
  <c r="S699" i="2"/>
  <c r="S705" i="2"/>
  <c r="S711" i="2"/>
  <c r="S725" i="2"/>
  <c r="S731" i="2"/>
  <c r="S737" i="2"/>
  <c r="S743" i="2"/>
  <c r="S749" i="2"/>
  <c r="S755" i="2"/>
  <c r="S761" i="2"/>
  <c r="S767" i="2"/>
  <c r="S772" i="2"/>
  <c r="S773" i="2"/>
  <c r="S779" i="2"/>
  <c r="S785" i="2"/>
  <c r="S787" i="2"/>
  <c r="S790" i="2"/>
  <c r="S791" i="2"/>
  <c r="S797" i="2"/>
  <c r="S803" i="2"/>
  <c r="S809" i="2"/>
  <c r="S815" i="2"/>
  <c r="S821" i="2"/>
  <c r="S827" i="2"/>
  <c r="S841" i="2"/>
  <c r="S843" i="2"/>
  <c r="S846" i="2"/>
  <c r="S847" i="2"/>
  <c r="S853" i="2"/>
  <c r="S859" i="2"/>
  <c r="S865" i="2"/>
  <c r="S871" i="2"/>
  <c r="S877" i="2"/>
  <c r="S879" i="2"/>
  <c r="S883" i="2"/>
  <c r="S895" i="2"/>
  <c r="S901" i="2"/>
  <c r="J717" i="2" l="1"/>
  <c r="O913" i="2" l="1"/>
  <c r="O908" i="2"/>
  <c r="O909" i="2"/>
  <c r="O910" i="2"/>
  <c r="O911" i="2"/>
  <c r="O912" i="2"/>
  <c r="N913" i="2"/>
  <c r="N912" i="2"/>
  <c r="N911" i="2"/>
  <c r="N910" i="2"/>
  <c r="N909" i="2"/>
  <c r="N908" i="2"/>
  <c r="K901" i="2"/>
  <c r="K853" i="2"/>
  <c r="K779" i="2"/>
  <c r="L779" i="2"/>
  <c r="K821" i="2"/>
  <c r="L663" i="2"/>
  <c r="O839" i="2"/>
  <c r="N839" i="2"/>
  <c r="O838" i="2"/>
  <c r="N838" i="2"/>
  <c r="O837" i="2"/>
  <c r="N837" i="2"/>
  <c r="O836" i="2"/>
  <c r="N836" i="2"/>
  <c r="O835" i="2"/>
  <c r="N835" i="2"/>
  <c r="O834" i="2"/>
  <c r="O833" i="2" s="1"/>
  <c r="N834" i="2"/>
  <c r="N833" i="2" s="1"/>
  <c r="O718" i="2"/>
  <c r="O719" i="2"/>
  <c r="O721" i="2"/>
  <c r="O722" i="2"/>
  <c r="O723" i="2"/>
  <c r="N722" i="2"/>
  <c r="N721" i="2"/>
  <c r="N723" i="2"/>
  <c r="N719" i="2"/>
  <c r="N718" i="2"/>
  <c r="N563" i="2"/>
  <c r="O563" i="2"/>
  <c r="O562" i="2"/>
  <c r="O561" i="2"/>
  <c r="O560" i="2"/>
  <c r="O559" i="2"/>
  <c r="N559" i="2"/>
  <c r="O558" i="2"/>
  <c r="N562" i="2"/>
  <c r="N561" i="2"/>
  <c r="N560" i="2"/>
  <c r="N558" i="2"/>
  <c r="N557" i="2" s="1"/>
  <c r="O292" i="2"/>
  <c r="O915" i="2" s="1"/>
  <c r="O293" i="2"/>
  <c r="O916" i="2" s="1"/>
  <c r="O294" i="2"/>
  <c r="O295" i="2"/>
  <c r="O918" i="2" s="1"/>
  <c r="O296" i="2"/>
  <c r="O919" i="2" s="1"/>
  <c r="O297" i="2"/>
  <c r="O920" i="2" s="1"/>
  <c r="N295" i="2"/>
  <c r="N918" i="2" s="1"/>
  <c r="O557" i="2" l="1"/>
  <c r="N297" i="2" l="1"/>
  <c r="N920" i="2" s="1"/>
  <c r="N292" i="2"/>
  <c r="N915" i="2" s="1"/>
  <c r="K285" i="2"/>
  <c r="L285" i="2" l="1"/>
  <c r="K329" i="2" l="1"/>
  <c r="K419" i="2"/>
  <c r="L329" i="2" l="1"/>
  <c r="K267" i="2"/>
  <c r="O720" i="2" l="1"/>
  <c r="N720" i="2"/>
  <c r="N296" i="2"/>
  <c r="N919" i="2" s="1"/>
  <c r="N293" i="2"/>
  <c r="N916" i="2" s="1"/>
  <c r="N294" i="2"/>
  <c r="N917" i="2" s="1"/>
  <c r="K99" i="2"/>
  <c r="O917" i="2" l="1"/>
  <c r="O914" i="2" s="1"/>
  <c r="O717" i="2"/>
  <c r="N914" i="2"/>
  <c r="N907" i="2"/>
  <c r="N291" i="2"/>
  <c r="N717" i="2"/>
  <c r="L705" i="2" l="1"/>
  <c r="K705" i="2"/>
  <c r="L545" i="2"/>
  <c r="K545" i="2"/>
  <c r="L551" i="2"/>
  <c r="K551" i="2"/>
  <c r="L711" i="2"/>
  <c r="K711" i="2"/>
  <c r="K663" i="2" l="1"/>
  <c r="K141" i="2"/>
  <c r="K189" i="2"/>
  <c r="K183" i="2"/>
  <c r="K177" i="2"/>
  <c r="K147" i="2"/>
  <c r="K159" i="2"/>
  <c r="K165" i="2"/>
  <c r="K171" i="2"/>
  <c r="K135" i="2"/>
  <c r="K153" i="2"/>
  <c r="K123" i="2"/>
  <c r="K279" i="2"/>
  <c r="K129" i="2"/>
  <c r="K117" i="2"/>
  <c r="K195" i="2" l="1"/>
  <c r="K63" i="2"/>
  <c r="K871" i="2"/>
  <c r="L407" i="2" l="1"/>
  <c r="K407" i="2"/>
  <c r="L871" i="2"/>
  <c r="K51" i="2" l="1"/>
  <c r="K539" i="2"/>
  <c r="K45" i="2"/>
  <c r="A15" i="2"/>
  <c r="A21" i="2" s="1"/>
  <c r="L15" i="2" l="1"/>
  <c r="K15" i="2"/>
  <c r="L539" i="2"/>
  <c r="K359" i="2"/>
  <c r="K353" i="2"/>
  <c r="K57" i="2"/>
  <c r="K515" i="2" l="1"/>
  <c r="L515" i="2" l="1"/>
  <c r="L267" i="2" l="1"/>
  <c r="L141" i="2"/>
  <c r="L419" i="2" l="1"/>
  <c r="O291" i="2" l="1"/>
  <c r="O907" i="2" l="1"/>
  <c r="K230" i="2"/>
  <c r="K69" i="2" l="1"/>
  <c r="K767" i="2"/>
  <c r="L69" i="2" l="1"/>
  <c r="K533" i="2"/>
  <c r="K527" i="2"/>
  <c r="L533" i="2" l="1"/>
  <c r="L527" i="2"/>
  <c r="K521" i="2" l="1"/>
  <c r="L521" i="2" l="1"/>
  <c r="K305" i="2" l="1"/>
  <c r="K21" i="2"/>
  <c r="K827" i="2"/>
  <c r="K243" i="2"/>
  <c r="L21" i="2" l="1"/>
  <c r="K597" i="2" l="1"/>
  <c r="K335" i="2" l="1"/>
  <c r="K299" i="2" l="1"/>
  <c r="K633" i="2" l="1"/>
  <c r="K865" i="2"/>
  <c r="K859" i="2"/>
  <c r="K509" i="2"/>
  <c r="K27" i="2"/>
  <c r="L509" i="2" l="1"/>
  <c r="L27" i="2"/>
  <c r="K323" i="2"/>
  <c r="K437" i="2"/>
  <c r="K365" i="2" l="1"/>
  <c r="L323" i="2"/>
  <c r="L767" i="2"/>
  <c r="K443" i="2"/>
  <c r="L117" i="2" l="1"/>
  <c r="L279" i="2"/>
  <c r="K260" i="2" l="1"/>
  <c r="K693" i="2"/>
  <c r="K699" i="2"/>
  <c r="L260" i="2" l="1"/>
  <c r="L693" i="2"/>
  <c r="L699" i="2"/>
  <c r="K895" i="2" l="1"/>
  <c r="J889" i="2"/>
  <c r="K883" i="2"/>
  <c r="K877" i="2"/>
  <c r="L865" i="2"/>
  <c r="K847" i="2"/>
  <c r="L827" i="2"/>
  <c r="K815" i="2"/>
  <c r="J815" i="2"/>
  <c r="J833" i="2" s="1"/>
  <c r="K809" i="2"/>
  <c r="K803" i="2"/>
  <c r="K797" i="2"/>
  <c r="K791" i="2"/>
  <c r="K785" i="2"/>
  <c r="K773" i="2"/>
  <c r="K761" i="2"/>
  <c r="K755" i="2"/>
  <c r="K749" i="2"/>
  <c r="K743" i="2"/>
  <c r="K737" i="2"/>
  <c r="K731" i="2"/>
  <c r="K725" i="2"/>
  <c r="J907" i="2" l="1"/>
  <c r="S889" i="2"/>
  <c r="K841" i="2"/>
  <c r="K833" i="2"/>
  <c r="L821" i="2"/>
  <c r="L883" i="2"/>
  <c r="L797" i="2"/>
  <c r="L901" i="2"/>
  <c r="K889" i="2"/>
  <c r="L731" i="2"/>
  <c r="L761" i="2"/>
  <c r="L773" i="2"/>
  <c r="L847" i="2"/>
  <c r="L725" i="2"/>
  <c r="L815" i="2"/>
  <c r="L877" i="2"/>
  <c r="L737" i="2"/>
  <c r="L809" i="2"/>
  <c r="L791" i="2"/>
  <c r="L755" i="2"/>
  <c r="L803" i="2"/>
  <c r="L895" i="2"/>
  <c r="L853" i="2"/>
  <c r="L859" i="2"/>
  <c r="L841" i="2"/>
  <c r="L749" i="2"/>
  <c r="L785" i="2"/>
  <c r="L743" i="2"/>
  <c r="K687" i="2"/>
  <c r="K681" i="2"/>
  <c r="K675" i="2"/>
  <c r="K669" i="2"/>
  <c r="K651" i="2"/>
  <c r="K645" i="2"/>
  <c r="K639" i="2"/>
  <c r="K627" i="2"/>
  <c r="K621" i="2"/>
  <c r="K615" i="2"/>
  <c r="K603" i="2"/>
  <c r="K591" i="2"/>
  <c r="K585" i="2"/>
  <c r="K503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L609" i="2" l="1"/>
  <c r="K609" i="2"/>
  <c r="K907" i="2"/>
  <c r="L833" i="2"/>
  <c r="L651" i="2"/>
  <c r="L681" i="2"/>
  <c r="L627" i="2"/>
  <c r="L585" i="2"/>
  <c r="L577" i="2"/>
  <c r="L581" i="2"/>
  <c r="L576" i="2"/>
  <c r="L580" i="2"/>
  <c r="L639" i="2"/>
  <c r="L621" i="2"/>
  <c r="L572" i="2"/>
  <c r="L633" i="2"/>
  <c r="L591" i="2"/>
  <c r="L603" i="2"/>
  <c r="L669" i="2"/>
  <c r="L889" i="2"/>
  <c r="L907" i="2" s="1"/>
  <c r="L675" i="2"/>
  <c r="L645" i="2"/>
  <c r="L687" i="2"/>
  <c r="L615" i="2"/>
  <c r="L567" i="2"/>
  <c r="L584" i="2"/>
  <c r="L571" i="2"/>
  <c r="L565" i="2"/>
  <c r="L583" i="2"/>
  <c r="L569" i="2"/>
  <c r="L579" i="2"/>
  <c r="L575" i="2"/>
  <c r="L597" i="2"/>
  <c r="L582" i="2"/>
  <c r="L578" i="2"/>
  <c r="L574" i="2"/>
  <c r="L573" i="2"/>
  <c r="L570" i="2"/>
  <c r="L568" i="2"/>
  <c r="L566" i="2"/>
  <c r="L503" i="2" l="1"/>
  <c r="K497" i="2"/>
  <c r="K491" i="2"/>
  <c r="J485" i="2"/>
  <c r="K479" i="2"/>
  <c r="K473" i="2"/>
  <c r="K467" i="2"/>
  <c r="K461" i="2"/>
  <c r="J557" i="2" l="1"/>
  <c r="S485" i="2"/>
  <c r="K485" i="2"/>
  <c r="L461" i="2"/>
  <c r="L473" i="2"/>
  <c r="L467" i="2"/>
  <c r="L479" i="2"/>
  <c r="L491" i="2"/>
  <c r="L497" i="2"/>
  <c r="K455" i="2"/>
  <c r="K449" i="2"/>
  <c r="K431" i="2"/>
  <c r="K413" i="2"/>
  <c r="K401" i="2"/>
  <c r="K395" i="2"/>
  <c r="K389" i="2"/>
  <c r="K383" i="2"/>
  <c r="K377" i="2"/>
  <c r="K371" i="2"/>
  <c r="L359" i="2"/>
  <c r="L353" i="2"/>
  <c r="K347" i="2"/>
  <c r="K341" i="2"/>
  <c r="K317" i="2"/>
  <c r="L485" i="2" l="1"/>
  <c r="L413" i="2"/>
  <c r="L341" i="2"/>
  <c r="L383" i="2"/>
  <c r="L437" i="2"/>
  <c r="L299" i="2"/>
  <c r="L377" i="2"/>
  <c r="L401" i="2"/>
  <c r="L305" i="2"/>
  <c r="L443" i="2"/>
  <c r="L335" i="2"/>
  <c r="L431" i="2"/>
  <c r="L449" i="2"/>
  <c r="L455" i="2"/>
  <c r="L389" i="2"/>
  <c r="L395" i="2"/>
  <c r="L347" i="2"/>
  <c r="L365" i="2"/>
  <c r="L371" i="2"/>
  <c r="L317" i="2"/>
  <c r="K557" i="2" l="1"/>
  <c r="L557" i="2"/>
  <c r="K273" i="2"/>
  <c r="K255" i="2"/>
  <c r="K249" i="2"/>
  <c r="L243" i="2"/>
  <c r="K237" i="2"/>
  <c r="K225" i="2"/>
  <c r="K219" i="2"/>
  <c r="J213" i="2"/>
  <c r="S213" i="2" s="1"/>
  <c r="K207" i="2"/>
  <c r="K213" i="2" l="1"/>
  <c r="J291" i="2"/>
  <c r="L225" i="2"/>
  <c r="L249" i="2"/>
  <c r="L219" i="2"/>
  <c r="L273" i="2"/>
  <c r="L207" i="2"/>
  <c r="L213" i="2"/>
  <c r="L230" i="2"/>
  <c r="L237" i="2"/>
  <c r="L255" i="2"/>
  <c r="L171" i="2"/>
  <c r="L165" i="2"/>
  <c r="L159" i="2"/>
  <c r="L153" i="2"/>
  <c r="L147" i="2"/>
  <c r="L135" i="2"/>
  <c r="L129" i="2"/>
  <c r="K201" i="2" l="1"/>
  <c r="L201" i="2"/>
  <c r="L195" i="2"/>
  <c r="L177" i="2"/>
  <c r="L189" i="2"/>
  <c r="L183" i="2"/>
  <c r="L123" i="2"/>
  <c r="K111" i="2"/>
  <c r="K105" i="2"/>
  <c r="J914" i="2" l="1"/>
  <c r="L105" i="2"/>
  <c r="L111" i="2"/>
  <c r="L99" i="2" l="1"/>
  <c r="K93" i="2"/>
  <c r="K87" i="2"/>
  <c r="K85" i="2"/>
  <c r="K84" i="2"/>
  <c r="K83" i="2"/>
  <c r="K82" i="2"/>
  <c r="K81" i="2"/>
  <c r="K75" i="2"/>
  <c r="K39" i="2"/>
  <c r="K33" i="2"/>
  <c r="L75" i="2" l="1"/>
  <c r="L39" i="2"/>
  <c r="L57" i="2"/>
  <c r="L33" i="2"/>
  <c r="L87" i="2"/>
  <c r="L63" i="2"/>
  <c r="L83" i="2"/>
  <c r="L45" i="2"/>
  <c r="L81" i="2"/>
  <c r="L93" i="2"/>
  <c r="L82" i="2"/>
  <c r="L84" i="2"/>
  <c r="L85" i="2"/>
  <c r="L51" i="2"/>
  <c r="A27" i="2" l="1"/>
  <c r="A33" i="2" s="1"/>
  <c r="A39" i="2" s="1"/>
  <c r="K14" i="2"/>
  <c r="K13" i="2"/>
  <c r="K12" i="2"/>
  <c r="K11" i="2"/>
  <c r="K10" i="2"/>
  <c r="K9" i="2"/>
  <c r="A45" i="2" l="1"/>
  <c r="A51" i="2" s="1"/>
  <c r="A57" i="2" s="1"/>
  <c r="A63" i="2" s="1"/>
  <c r="A69" i="2" s="1"/>
  <c r="K291" i="2"/>
  <c r="L10" i="2"/>
  <c r="L14" i="2"/>
  <c r="L12" i="2"/>
  <c r="L13" i="2"/>
  <c r="L11" i="2"/>
  <c r="L9" i="2"/>
  <c r="L291" i="2" l="1"/>
  <c r="A75" i="2"/>
  <c r="A81" i="2" s="1"/>
  <c r="A87" i="2" s="1"/>
  <c r="A93" i="2" s="1"/>
  <c r="A99" i="2" s="1"/>
  <c r="A105" i="2" l="1"/>
  <c r="A111" i="2" s="1"/>
  <c r="A117" i="2" s="1"/>
  <c r="A123" i="2" s="1"/>
  <c r="A129" i="2" s="1"/>
  <c r="A135" i="2" s="1"/>
  <c r="A141" i="2" s="1"/>
  <c r="A147" i="2" s="1"/>
  <c r="A153" i="2" s="1"/>
  <c r="A159" i="2" s="1"/>
  <c r="A165" i="2" s="1"/>
  <c r="A171" i="2" s="1"/>
  <c r="A177" i="2" s="1"/>
  <c r="A183" i="2" s="1"/>
  <c r="A189" i="2" s="1"/>
  <c r="A195" i="2" s="1"/>
  <c r="A201" i="2" s="1"/>
  <c r="A207" i="2" s="1"/>
  <c r="A213" i="2" l="1"/>
  <c r="A225" i="2" l="1"/>
  <c r="A230" i="2" s="1"/>
  <c r="A237" i="2" s="1"/>
  <c r="A243" i="2" s="1"/>
  <c r="A249" i="2" s="1"/>
  <c r="A255" i="2" s="1"/>
  <c r="A260" i="2" s="1"/>
  <c r="A267" i="2" s="1"/>
  <c r="A273" i="2" s="1"/>
  <c r="A279" i="2" s="1"/>
  <c r="A285" i="2" s="1"/>
  <c r="A299" i="2" s="1"/>
  <c r="A219" i="2"/>
  <c r="A305" i="2"/>
  <c r="A311" i="2" s="1"/>
  <c r="A317" i="2" l="1"/>
  <c r="A323" i="2" s="1"/>
  <c r="A341" i="2" l="1"/>
  <c r="A347" i="2" s="1"/>
  <c r="A353" i="2" s="1"/>
  <c r="A359" i="2" s="1"/>
  <c r="A365" i="2" s="1"/>
  <c r="A371" i="2" s="1"/>
  <c r="A377" i="2" s="1"/>
  <c r="A383" i="2" s="1"/>
  <c r="A389" i="2" s="1"/>
  <c r="A395" i="2" s="1"/>
  <c r="A401" i="2" s="1"/>
  <c r="A407" i="2" s="1"/>
  <c r="A413" i="2" s="1"/>
  <c r="A419" i="2" s="1"/>
  <c r="A431" i="2" s="1"/>
  <c r="A437" i="2" s="1"/>
  <c r="A329" i="2"/>
  <c r="A335" i="2" s="1"/>
  <c r="A443" i="2"/>
  <c r="A449" i="2" s="1"/>
  <c r="A455" i="2" s="1"/>
  <c r="A461" i="2" s="1"/>
  <c r="A467" i="2" l="1"/>
  <c r="A473" i="2" s="1"/>
  <c r="A479" i="2" s="1"/>
  <c r="A485" i="2" s="1"/>
  <c r="A491" i="2" s="1"/>
  <c r="A497" i="2" s="1"/>
  <c r="A503" i="2" s="1"/>
  <c r="A509" i="2" s="1"/>
  <c r="A515" i="2" s="1"/>
  <c r="A521" i="2" s="1"/>
  <c r="A527" i="2" l="1"/>
  <c r="A539" i="2" l="1"/>
  <c r="A533" i="2"/>
  <c r="K657" i="2"/>
  <c r="A574" i="2" l="1"/>
  <c r="A585" i="2" s="1"/>
  <c r="A591" i="2" s="1"/>
  <c r="A597" i="2" s="1"/>
  <c r="A603" i="2" s="1"/>
  <c r="A609" i="2" s="1"/>
  <c r="A615" i="2" s="1"/>
  <c r="A621" i="2" s="1"/>
  <c r="A627" i="2" s="1"/>
  <c r="A633" i="2" s="1"/>
  <c r="A639" i="2" s="1"/>
  <c r="A645" i="2" s="1"/>
  <c r="A651" i="2" s="1"/>
  <c r="A657" i="2" s="1"/>
  <c r="A663" i="2" s="1"/>
  <c r="A669" i="2" s="1"/>
  <c r="A545" i="2"/>
  <c r="A551" i="2" s="1"/>
  <c r="A565" i="2" s="1"/>
  <c r="A675" i="2"/>
  <c r="A681" i="2" s="1"/>
  <c r="A687" i="2" s="1"/>
  <c r="K717" i="2"/>
  <c r="K914" i="2" s="1"/>
  <c r="L657" i="2"/>
  <c r="L717" i="2" s="1"/>
  <c r="L914" i="2" s="1"/>
  <c r="A693" i="2" l="1"/>
  <c r="A699" i="2" l="1"/>
  <c r="A725" i="2" l="1"/>
  <c r="A731" i="2" s="1"/>
  <c r="A737" i="2" s="1"/>
  <c r="A743" i="2" s="1"/>
  <c r="A749" i="2" s="1"/>
  <c r="A755" i="2" s="1"/>
  <c r="A761" i="2" s="1"/>
  <c r="A767" i="2" s="1"/>
  <c r="A773" i="2" s="1"/>
  <c r="A779" i="2" s="1"/>
  <c r="A785" i="2" s="1"/>
  <c r="A791" i="2" s="1"/>
  <c r="A797" i="2" s="1"/>
  <c r="A803" i="2" s="1"/>
  <c r="A809" i="2" s="1"/>
  <c r="A815" i="2" s="1"/>
  <c r="A821" i="2" s="1"/>
  <c r="A827" i="2" s="1"/>
  <c r="A841" i="2" s="1"/>
  <c r="A847" i="2" s="1"/>
  <c r="A853" i="2" s="1"/>
  <c r="A859" i="2" s="1"/>
  <c r="A865" i="2" s="1"/>
  <c r="A871" i="2" s="1"/>
  <c r="A877" i="2" s="1"/>
  <c r="A883" i="2" s="1"/>
  <c r="A889" i="2" s="1"/>
  <c r="A895" i="2" s="1"/>
  <c r="A901" i="2" s="1"/>
  <c r="A705" i="2"/>
  <c r="A711" i="2" s="1"/>
</calcChain>
</file>

<file path=xl/sharedStrings.xml><?xml version="1.0" encoding="utf-8"?>
<sst xmlns="http://schemas.openxmlformats.org/spreadsheetml/2006/main" count="2120" uniqueCount="669">
  <si>
    <t>№ п/п</t>
  </si>
  <si>
    <t>Организационно-правовая форма юридического лица, балансодержателя, его юридический адрес</t>
  </si>
  <si>
    <t>Площадь объекта (кв.м.) (для недвижимого имущества)</t>
  </si>
  <si>
    <t>руб. ПМР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</si>
  <si>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</si>
  <si>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</si>
  <si>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</si>
  <si>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</si>
  <si>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</si>
  <si>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</si>
  <si>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</si>
  <si>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</si>
  <si>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</si>
  <si>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</si>
  <si>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</si>
  <si>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Вид услуг</t>
  </si>
  <si>
    <t>Сумма недополученного местным бюджетом дохода  (арендной платы), руб.</t>
  </si>
  <si>
    <t xml:space="preserve">Наименование ссудополучателя* </t>
  </si>
  <si>
    <t>за кем по договору закреплены обязательства по оплате коммунальных платежей</t>
  </si>
  <si>
    <t>ВСЕГО</t>
  </si>
  <si>
    <t>Задолженность по коммунальным платежам</t>
  </si>
  <si>
    <t>в т.ч. за отчетный период</t>
  </si>
  <si>
    <t>Итого, в том числе:</t>
  </si>
  <si>
    <t>Примечание**</t>
  </si>
  <si>
    <t>Наименование объекта, сдаваемого в безвозм. пользов., его местонахождение (литеры, номера)</t>
  </si>
  <si>
    <t xml:space="preserve">Информация о результатах передачи в безвозмездное временное пользование имущества муниципальной собственности </t>
  </si>
  <si>
    <t>№ 720 от 19.03.2018</t>
  </si>
  <si>
    <t>ОО "Тираспольский Союз инвалидов"</t>
  </si>
  <si>
    <t>под деятельность организации</t>
  </si>
  <si>
    <t>№ 282 от 31.01.2018</t>
  </si>
  <si>
    <t>ОО "Союз защитников Приднестровья"</t>
  </si>
  <si>
    <t>для размещения служебных помещений</t>
  </si>
  <si>
    <t>ОО "Тираспольское общество "Чернобыль"</t>
  </si>
  <si>
    <t>№ 783 от 22.03.2018</t>
  </si>
  <si>
    <t>ОО "Федерация бокса г. Тирасполь"</t>
  </si>
  <si>
    <t>офис</t>
  </si>
  <si>
    <t>№ 2504 от 17.06.2008</t>
  </si>
  <si>
    <t>ОО "Тираспольский союз "Память"</t>
  </si>
  <si>
    <t>бессрочно</t>
  </si>
  <si>
    <t>№ 3244 от 09.09.2009</t>
  </si>
  <si>
    <t>СЗАО "Интерднестрком"</t>
  </si>
  <si>
    <t>телефонные станции</t>
  </si>
  <si>
    <t>№ 3786 от 24.11.2010</t>
  </si>
  <si>
    <t>для обслуживания сотовой связью</t>
  </si>
  <si>
    <t>ОО  "Союз ветеранов Афганистана"</t>
  </si>
  <si>
    <t>под служебные помещения</t>
  </si>
  <si>
    <t>ГУП "ЕРЭС"</t>
  </si>
  <si>
    <t>для размещения рабочего персонала Тираспольских районных электрических сетей ГУП «ЕРЭС».</t>
  </si>
  <si>
    <t>УВД г. Тирасполь</t>
  </si>
  <si>
    <t>для размещения пунктов правопорядка</t>
  </si>
  <si>
    <t xml:space="preserve">Представительство Республики Абхазия в ПМР </t>
  </si>
  <si>
    <t>Представительство Республики Южная Осетия в ПМР</t>
  </si>
  <si>
    <t>МУП "Спецавтохозяйство г. Тирасполя"</t>
  </si>
  <si>
    <t>для размещения бытовок для рабочих службы уборки</t>
  </si>
  <si>
    <t>МУП "Спецавтохозяйство"</t>
  </si>
  <si>
    <t>МУП  "Тираслифт"</t>
  </si>
  <si>
    <t>ОО "Бородинский союз инвалидов и ветеранов"</t>
  </si>
  <si>
    <t>для организации центра по оказанию помощи</t>
  </si>
  <si>
    <t>бесссрочный</t>
  </si>
  <si>
    <t>МГУП "Тирастеплоэнерго"</t>
  </si>
  <si>
    <t>для размещения автономной газовой котельной</t>
  </si>
  <si>
    <t>№ 2830 от 24.10.2018</t>
  </si>
  <si>
    <t>для размещения мастерских</t>
  </si>
  <si>
    <t>№ 2028 от 05.07.2016</t>
  </si>
  <si>
    <t xml:space="preserve">Вохмин Сергей Вячеславович </t>
  </si>
  <si>
    <t>МУ "УФКиС г. Тирасполь"</t>
  </si>
  <si>
    <t xml:space="preserve">для организации общественного пункта охраны правопорядка № 2 </t>
  </si>
  <si>
    <t>ОО "Ветераны войны, труда и вооруженных сил  г. Тирасполя"</t>
  </si>
  <si>
    <t>для проведения встреч и заседаний первичной организации № 10</t>
  </si>
  <si>
    <t>для  размещения теплового пункта</t>
  </si>
  <si>
    <t>МУП "ТПСО"</t>
  </si>
  <si>
    <t>для размещения материально-технической и производственной базы предприятия</t>
  </si>
  <si>
    <t>для размещения служебных бытовок</t>
  </si>
  <si>
    <t>№ 1992 от 5.08.2019</t>
  </si>
  <si>
    <t>МВД ПМР</t>
  </si>
  <si>
    <t>для размещения Учебно-методического центра Штаба гражданской защиты ГУпоЧС МВД ПМР</t>
  </si>
  <si>
    <t>№ 2226 от 29.08.2019</t>
  </si>
  <si>
    <t>ГУП "ЕРЭС" ТРЭС</t>
  </si>
  <si>
    <t>для размещения бытовок обслуживающего персонала</t>
  </si>
  <si>
    <t>ОО "Поддержка многодетных семей"</t>
  </si>
  <si>
    <t>для размещения рабочего персонала и мастерских</t>
  </si>
  <si>
    <t xml:space="preserve">ГУП "Водоснабжение и водоотведение                                               </t>
  </si>
  <si>
    <t>для бытовок обслуживающего персонала ГУП "Водоснабжение и водоотведение"</t>
  </si>
  <si>
    <t>для размещения средств радиосвязи</t>
  </si>
  <si>
    <t>№ 3048 от 26.11.2019</t>
  </si>
  <si>
    <t>ГУ "Республиканский центр по протезированию и ортопедии"</t>
  </si>
  <si>
    <t>НП "Единая русская община "Русский дом"</t>
  </si>
  <si>
    <t>для размещения общественной приемной организации</t>
  </si>
  <si>
    <t>ТОО "Общество Белорусской культуры"</t>
  </si>
  <si>
    <t xml:space="preserve">МУ "УНО                                      г. Тирасполь"         </t>
  </si>
  <si>
    <t>для размещения филиалов Центр социально-воспитательной работы</t>
  </si>
  <si>
    <t>МУ "УФКС                               г. Тирасполь"</t>
  </si>
  <si>
    <t>для размещения филиала МОУ ДО "ТСДЮШОР борьбы и бокса"</t>
  </si>
  <si>
    <t>ОО "Ветераны войны, труда и вооруженных сил г. Тирасполя"</t>
  </si>
  <si>
    <t>№ 838 от 31.03.2020</t>
  </si>
  <si>
    <t>для проведения встреч ветеранов, согласно графику: вторник с 10:00 до 14:00</t>
  </si>
  <si>
    <t>ГУ "Тираспольский клинический центр амбулаторно-поликлинической помощи"</t>
  </si>
  <si>
    <t>для размещения поликлиники</t>
  </si>
  <si>
    <t>для размещения паспортного отделения по микрорайону «Бородинский» ПО г. Тирасполь ООПРР УпВМ МВД ПМР</t>
  </si>
  <si>
    <t>ГУП "Почта Приднестровья"</t>
  </si>
  <si>
    <t>для размещения отделений почтовой связи ГУП "Почты Приднестровья"</t>
  </si>
  <si>
    <t>№ 1585 от 21.07.2020</t>
  </si>
  <si>
    <t>для размещения Индивидуального теплового пункта</t>
  </si>
  <si>
    <t>ГУП "Водоснабжение и водоотведение"</t>
  </si>
  <si>
    <t>для размещения персонала предприятия, хранение материалов и оборудования</t>
  </si>
  <si>
    <t>ГУ «Приднестровская Государственная телерадиокомпания»</t>
  </si>
  <si>
    <t>для размещения казачьего детского военно-патриотического клуба</t>
  </si>
  <si>
    <t>№ 2956 от 6.11.2020</t>
  </si>
  <si>
    <t>ОО "Информационно центр" Здоровое будущее"</t>
  </si>
  <si>
    <t>молодежный центр психологической поддержки</t>
  </si>
  <si>
    <t>№ 502                     от 3.03.2021</t>
  </si>
  <si>
    <t>для проведения собраний по графику: четверг с 14:00 ч. до 17:00 ч., суббота с 9:00 ч. до 12: 00 ч.</t>
  </si>
  <si>
    <t>№ 501                 от 3.03.2021</t>
  </si>
  <si>
    <t>ОО "Регбийный клуб "Динамо-центр"</t>
  </si>
  <si>
    <t>№ 500                  от 03.03.2021</t>
  </si>
  <si>
    <t>ОО "Всеармейское охотничье общество"</t>
  </si>
  <si>
    <t>для размещения ОО «Всеармейское охотничье общество»</t>
  </si>
  <si>
    <t>№ 537                          от 3.03.2021</t>
  </si>
  <si>
    <t>МУП "Спецавтохозяйство г. Тирасполь"</t>
  </si>
  <si>
    <t>для размещения инвентаря дворников</t>
  </si>
  <si>
    <t>ГУ "Тираспольская городская стоматологическая поликлиника"</t>
  </si>
  <si>
    <t>для размещения стоматологической поликлиники</t>
  </si>
  <si>
    <t>на период действия депутатских полномочий, но не более 01.12.2025 года</t>
  </si>
  <si>
    <t>№ 627                              от 16.03.2021</t>
  </si>
  <si>
    <t xml:space="preserve">депутат ТГСНГ                  Дамаскин Иван Андреевич </t>
  </si>
  <si>
    <t>для приема граждан по избирательному округу № 30 по графику: пятница с 16:00 часов до 17:00 часов</t>
  </si>
  <si>
    <t>№ 653                       от 16.03.2021</t>
  </si>
  <si>
    <t>депутат ТГСНГ                  Шумейко Евгений Михайлович</t>
  </si>
  <si>
    <t>для приема граждан по избирательному округу  № 26 по графику: первая и третья пятница с 16:00 часов до 18:00 часов</t>
  </si>
  <si>
    <t>№ 1169                       от 13.05.2021</t>
  </si>
  <si>
    <t xml:space="preserve">ОО «Тираспольская федерация Шотокан каратэ-до» </t>
  </si>
  <si>
    <t>для размещения спортивного клуба</t>
  </si>
  <si>
    <t>№ 1370 от 27.05.2021</t>
  </si>
  <si>
    <t>Депутат ТГСНД Бондаренко Ирина Валерьевна</t>
  </si>
  <si>
    <t>для размещения общественной приемной депутата для приема граждан по графику: еженедельно по средам с 16:00 часов до 17:00 часов</t>
  </si>
  <si>
    <t>№ 1617 от 21.06.2021</t>
  </si>
  <si>
    <t>Депутат ТГСНД Соляр Александр Анатольевич</t>
  </si>
  <si>
    <t>для приема граждан по избирательному округу № 25 по следующему графику: вторая и четвертая пятница с 17:00 часов до 18:00 часов</t>
  </si>
  <si>
    <t>№ 1748 от 5.07.2021</t>
  </si>
  <si>
    <t>для размещения предметов гуманитарной помощи семьям, состоящим на профилактическом учёте МСУ «Центр социально-воспитательной работы» и нуждающимся в особой материальной поддержке</t>
  </si>
  <si>
    <t>№ 1935 от 20.07.2021</t>
  </si>
  <si>
    <t>для осуществления основной деятельности</t>
  </si>
  <si>
    <t>№ 2004 от 27.07.2021</t>
  </si>
  <si>
    <t>Единый государственный фонд социального страхования ПМР</t>
  </si>
  <si>
    <t>для служебных целей</t>
  </si>
  <si>
    <t>на неопределенный срок</t>
  </si>
  <si>
    <t>№ 2118 от 10.08.2021</t>
  </si>
  <si>
    <t>для размещения оборудования связи</t>
  </si>
  <si>
    <t>№ 2240 от 20.08.2021</t>
  </si>
  <si>
    <t>для размещения спортивного клуба "Богатырь"</t>
  </si>
  <si>
    <t>№ 2242 от 20.08.2021</t>
  </si>
  <si>
    <t>Автономная некоммерческая организация «Филиал Института стран СНГ в г. Тирасполь»</t>
  </si>
  <si>
    <t xml:space="preserve">для размещения АНО «Филиал Института стран СНГ г. Тирасполь» </t>
  </si>
  <si>
    <t>Министерство по социальной защите и труду ПМР</t>
  </si>
  <si>
    <t>№ 2874 от 3.11.2021</t>
  </si>
  <si>
    <t>ОО "Союз русских общин Приднестровья"</t>
  </si>
  <si>
    <t>№ 2871 от 03.11.2021</t>
  </si>
  <si>
    <t>для проведения встреч и заседаний первичной организации № 5 ОО «Ветераны войны, труда и вооруженных сил г. Тирасполь» по графику: каждый вторник</t>
  </si>
  <si>
    <t>для  проведения заседаний первичных организаций № 4 и № 9 ОО «Ветераны войны, труда и вооруженных сил г. Тирасполя», которые будут проводиться один раз в месяц по графику: каждый вторник</t>
  </si>
  <si>
    <t>№ 2873 от 03.11.2021</t>
  </si>
  <si>
    <t>РОО "Союз десантников Приднестровья"</t>
  </si>
  <si>
    <t>для размещения данной организации</t>
  </si>
  <si>
    <t>№ 3204 от 6.12.2021</t>
  </si>
  <si>
    <t>Благотворительный фонд памяти заслуженных людей Приднестровья</t>
  </si>
  <si>
    <t>для размещения фонда согласно графика: суббота с 11:00 часов до 15:00 часов</t>
  </si>
  <si>
    <t>№ 3205 от 6.12.2021</t>
  </si>
  <si>
    <t xml:space="preserve">ГУ «Тираспольский клинический центр амбулаторно-поликлинической помощи» </t>
  </si>
  <si>
    <t>для размещения социальной аптеки № 305</t>
  </si>
  <si>
    <t>УВД г. Тирасполь МВД ПМР</t>
  </si>
  <si>
    <t>для установки аппаратуры системы видеонаблюдения «Безопасный город» г. Тирасполь</t>
  </si>
  <si>
    <t>для размещения общественного пункта охраны правопорядка</t>
  </si>
  <si>
    <t>№ 2025 от 2.08.2021</t>
  </si>
  <si>
    <t>депутат ВС ПМР Антюфеева Галина Михайловна</t>
  </si>
  <si>
    <t>для размещения общественной приемной по избирательному округу № 25 "Западный"</t>
  </si>
  <si>
    <t>№ 1951 от 22.07.2021</t>
  </si>
  <si>
    <t>депутат ТГСНД Орлов Руслан Николаевич</t>
  </si>
  <si>
    <t>для размещения общественной приемной депутата для приема граждан по графику: последний четверг месяца с 16:00 часов до 18:00 часов.</t>
  </si>
  <si>
    <t>№ 2015 от 7.08.2019, внес. изм.  № 1765 от 31.07.2020</t>
  </si>
  <si>
    <t xml:space="preserve">для размещения служебных помещений </t>
  </si>
  <si>
    <t>для хранения транспортных средств</t>
  </si>
  <si>
    <t>№ 1029 от 28.04.2021</t>
  </si>
  <si>
    <t xml:space="preserve"> для размещения МУ «ЦДМ «Юбилейный»</t>
  </si>
  <si>
    <t>№ 1044 от 28.04.2021</t>
  </si>
  <si>
    <t>для проведения занятий МОУ ДО «СДЮШОР № 1», согласно ежегодному графику учебно-тренировочных занятий</t>
  </si>
  <si>
    <t>№ 3211 от 6.12.2021</t>
  </si>
  <si>
    <t>для размещения аппаратуры звукофикации</t>
  </si>
  <si>
    <t>ГОУДПП "Институт развития и повышения квалификации"</t>
  </si>
  <si>
    <t>для размещения служебных автомобилей</t>
  </si>
  <si>
    <t>НП "Базовый центр реабилитации и консультирования "ОСОРЦ"</t>
  </si>
  <si>
    <t>№ 1894 от 11.08.2020</t>
  </si>
  <si>
    <t>МУП "ТКДП "Школьник"</t>
  </si>
  <si>
    <t>Помещения муниципальных общеобразовательных учреждений г. Тирасполь и с. Кременчуг, а также холодильное и технологическое оборудование, установленное в этих помещениях</t>
  </si>
  <si>
    <t xml:space="preserve"> под пищеблоки, столовые и буфеты</t>
  </si>
  <si>
    <t>№ 707 от 26.03.2021</t>
  </si>
  <si>
    <t>Депутат ТГСНД Дурбала Наталья Кирилловна</t>
  </si>
  <si>
    <t>для приема граждан по избирательному округу № 37 по графику: первый и третий четверг месяца с 16:30 часов до 18:30 часов.</t>
  </si>
  <si>
    <t>№ 790 от 6.04.2021</t>
  </si>
  <si>
    <t>Депутат ТГСНД Стажилов Александр Петрович</t>
  </si>
  <si>
    <t>для приема граждан по избирательному округу № 35 по графику: вторая и четвертая пятница с 17:00 часов</t>
  </si>
  <si>
    <t>№ 768 от 1.04.2021</t>
  </si>
  <si>
    <t xml:space="preserve">Депутат ТГСНД Крижановский Игорь Николаевич </t>
  </si>
  <si>
    <t>для размещения избирательного округа для приема граждан по графику: первый и третий четверг месяца с 17:30 часов до 19:00 часов</t>
  </si>
  <si>
    <t>№ 1349                  от 26.05.2021</t>
  </si>
  <si>
    <t xml:space="preserve">Депутат ТГСНД Ганенко Иван Петрович </t>
  </si>
  <si>
    <t>для размещения избирательного округа для приема граждан по графику: первый и третий четверг месяца с 17:00 часов до 19:00 часов</t>
  </si>
  <si>
    <t>№ 1348                  от 26.05.2021</t>
  </si>
  <si>
    <t xml:space="preserve">Депутат ТГСНД Солодкий Павел Георгиевич </t>
  </si>
  <si>
    <t>для размещения общественной приемной депутата для приема граждан по графику: каждый вторник                                 с 17:00 часов до 18:00 часов.</t>
  </si>
  <si>
    <t>№ 1347                  от 26.05.2021</t>
  </si>
  <si>
    <t xml:space="preserve">Депутат ТГСНД Чавдарь Георгй Филиппович </t>
  </si>
  <si>
    <t>для размещения общественной приемной депутата для приема граждан по графику: первый понедельник месяца с 18:00 часов.</t>
  </si>
  <si>
    <t>№ 1346                  от 26.05.2021</t>
  </si>
  <si>
    <t xml:space="preserve">Депутат ТГСНД Беликов Игорь Иванович </t>
  </si>
  <si>
    <t>для размещения общественной приемной депутата для приема граждан по графику: еженедельно по четвергам с 18:00 часов до 19:00 часов.</t>
  </si>
  <si>
    <t>№ 1345                  от 26.05.2021</t>
  </si>
  <si>
    <t xml:space="preserve">Депутат ТГСНД Большаков Андрей Александрович  </t>
  </si>
  <si>
    <t>№ 1332                  от 26.05.2021</t>
  </si>
  <si>
    <t>Депутат ТГСНД Попов Владимир Николаевич</t>
  </si>
  <si>
    <t>для размещения общественной приемной депутата для приема граждан по графику: первое и третье воскресенье месяца с 10:00 часов до 11:00 часов.</t>
  </si>
  <si>
    <t>Депутат ТГСНД Китикарь Оксана Васильевна</t>
  </si>
  <si>
    <t>для размещения общественной приемной депутата для приема граждан по графику: первая и третья среда месяца с 17:00 часов до 19:00 часов.</t>
  </si>
  <si>
    <t>№ 1819 от 12.07.2021</t>
  </si>
  <si>
    <t>Депутат ТГСНД Кудлаенко Александр Владимирович</t>
  </si>
  <si>
    <t>для размещения общественной приемной депутата для приема граждан по графику: первая и четвертая суббота месяца с 13:00 часов до 15:00 часов</t>
  </si>
  <si>
    <t>№ 1938 от 22.07.2021</t>
  </si>
  <si>
    <t>Депутат ВС ПМР Буга Игорь Семенович</t>
  </si>
  <si>
    <t>для приема граждан по избирательному округу № 29 «Одесский»                  по графику: первая и третья пятница каждого месяца</t>
  </si>
  <si>
    <t>Спортивные залы и помещения учреждений общего и средне-специального образования города Тирасполя</t>
  </si>
  <si>
    <t>для проведения учебно-тренировочных занятий по различным видам спорта с учащимися МОУ ДО спортивной направленности г. Тирасполь</t>
  </si>
  <si>
    <t>№ 1857 от 14.07.2021</t>
  </si>
  <si>
    <t>МУП "Тираспольский комбинат детского питания "Школьник"</t>
  </si>
  <si>
    <t xml:space="preserve">для организации работы выездного буфета </t>
  </si>
  <si>
    <t>№ 3472 от 28.12.2021</t>
  </si>
  <si>
    <t>ОО «Центр научно-технического творчества молодежи «Синергия развития»</t>
  </si>
  <si>
    <t>для проведения кружков технического творчества</t>
  </si>
  <si>
    <t>ОО «Союз писателей Приднестровья»</t>
  </si>
  <si>
    <t>№ 1331                  от 26.05.2021</t>
  </si>
  <si>
    <t xml:space="preserve">Депутат ТГСНД                        Дони Вадим Михайлович </t>
  </si>
  <si>
    <t>для приема граждан по избирательному округу № 14 по графику: первая и третья пятница месяца                            с 15:00 часов до 17:00 часов.</t>
  </si>
  <si>
    <t>Государственная служба по спорту ПМР</t>
  </si>
  <si>
    <t>МУ "УФКС                            г. Тирасполь"</t>
  </si>
  <si>
    <t>для размещение служебных помещений</t>
  </si>
  <si>
    <t>№ 1501 от 12.06.2018</t>
  </si>
  <si>
    <t>РОО "Федерация футбола Приднестровья"</t>
  </si>
  <si>
    <t>для размещения офиса Федерации</t>
  </si>
  <si>
    <t>для размещения Государственной инспекции речного транспорта  УАСС ГУпЧС МВД ПМР</t>
  </si>
  <si>
    <t>Оперативная группа Российских войск в Приднестровском регионе</t>
  </si>
  <si>
    <t>для размещения детского лагеря ОГРВ</t>
  </si>
  <si>
    <t>РОО «Федерация по гребле на байдарках и каноэ Приднестровья»</t>
  </si>
  <si>
    <t xml:space="preserve">для проведения спортивных мероприятий и подготовки спортсменов к республиканским и международным соревнованиям </t>
  </si>
  <si>
    <t>№ 628 от 16.03.2021</t>
  </si>
  <si>
    <t>для размещения инвентаря дворников участка № 13</t>
  </si>
  <si>
    <t>Следственный комитет ПМР</t>
  </si>
  <si>
    <t>№ 3473 от 29.12.2021</t>
  </si>
  <si>
    <t>для размещения  индивидуальной котельной МОУ ДО "СДЮШОР № 3"</t>
  </si>
  <si>
    <t>Общество украинской культуры «Червона калина"</t>
  </si>
  <si>
    <t>для размещения офиса председателя Тираспольского городского Правления Общества украинской культуры «Червона  калина».</t>
  </si>
  <si>
    <t>Сопредседателю ОКК</t>
  </si>
  <si>
    <t>под офис для сопредседателя Объединенной Контрольной Комиссии от ПМР</t>
  </si>
  <si>
    <t xml:space="preserve">Уполномоченный по правам человека в Приднестровской Молдавской Республике </t>
  </si>
  <si>
    <t xml:space="preserve">для размещения служебных кабинетов </t>
  </si>
  <si>
    <t xml:space="preserve">для размещения служебных кабинетов Тираспольского центра социального страхования. </t>
  </si>
  <si>
    <t>№ 1597 от 22.07.2020</t>
  </si>
  <si>
    <t>Министерство финансов ПМР</t>
  </si>
  <si>
    <t>для размещения Налоговой инспекции по г. Тирасполь и архивов Министерства финансов Приднестровской Молдавской Республики</t>
  </si>
  <si>
    <t>№ 1508 от 13.07.2020</t>
  </si>
  <si>
    <t>Фонд государственного резерва ПМР</t>
  </si>
  <si>
    <t>№ 2745 от 15.10.2021</t>
  </si>
  <si>
    <t>ОО "Ветераны войны, труда и ВС                                   г. Тирасполь"</t>
  </si>
  <si>
    <t>служебные помещения</t>
  </si>
  <si>
    <t>№ 1779 от 07.07.2021</t>
  </si>
  <si>
    <t>для организации буфета</t>
  </si>
  <si>
    <t>№ 283 от 31.01.2018</t>
  </si>
  <si>
    <t>для размещения отдела по делам гражданской обороны и чрезвычайных ситуаций г. Тирасполь УГЗ ГУпЧС МВД ПМР</t>
  </si>
  <si>
    <t>№ 2025 от 30.07.2018</t>
  </si>
  <si>
    <t>№ 3339 от 10.12.2018</t>
  </si>
  <si>
    <t>ОО «Патриотическое мотоциклетное движение «Ночные волки»</t>
  </si>
  <si>
    <t>для размещения общественной организации</t>
  </si>
  <si>
    <t>№ 399 от 19.02.2019</t>
  </si>
  <si>
    <t>ОО "Союз художников Приднестровья"</t>
  </si>
  <si>
    <t>для размещения творческих мастерских</t>
  </si>
  <si>
    <t>№ 2125 от 15.08.2019</t>
  </si>
  <si>
    <t>Министерство обороны ПМР</t>
  </si>
  <si>
    <t>для размещения Управления Народного ополчения</t>
  </si>
  <si>
    <t>под служебные кабинеты</t>
  </si>
  <si>
    <t>ОО "Объединенный совет трудовых коллективов г. Тирасполя"</t>
  </si>
  <si>
    <t>для размещения общнственной приемной</t>
  </si>
  <si>
    <t xml:space="preserve">РОО "Ветераны войны, труда и вооруженных сил Приднестровья" </t>
  </si>
  <si>
    <t>для размещения общественной приемной</t>
  </si>
  <si>
    <t>№ 3429 от 21.12.2020</t>
  </si>
  <si>
    <t>Единный государственный фонд соц.страхования</t>
  </si>
  <si>
    <t>для размещения архива Центра социального страхования и социальной защиты  г. Тирасполь</t>
  </si>
  <si>
    <t>№ 684  от 24.03.2021</t>
  </si>
  <si>
    <t xml:space="preserve"> 16.06.2021</t>
  </si>
  <si>
    <t>№ 1722 от 29.06.2021</t>
  </si>
  <si>
    <t>МУ «Управление городского хозяйства Тирасполя»</t>
  </si>
  <si>
    <t>№ 3362 от 17.12.2021</t>
  </si>
  <si>
    <t>Судебный департамент при Верховном Суде ПМР</t>
  </si>
  <si>
    <t>Органы государственной власть</t>
  </si>
  <si>
    <t>Государственная администрация города Тирасполь и города Днестровск</t>
  </si>
  <si>
    <t>МУП "ЖЭУК                                               г.  Тирасполь",                     г. Тирасполь,                         ул. 1 Мая, д. 116</t>
  </si>
  <si>
    <t>доп. соглашение об увеличении площади</t>
  </si>
  <si>
    <t>УВД                                          г. Тирасполь</t>
  </si>
  <si>
    <t>Часть здания литер А 3, состоящая из  помещения крыши  № 17 ,                                               г. Тирасполь, пер. Набережный, д. 1</t>
  </si>
  <si>
    <t>Часть здания, состоящая из помещения крыши № 2 ,                                                                     г. Тирасполь, ул. Свердлова, д. 70</t>
  </si>
  <si>
    <t>Часть здания, состоящая из помещения крыши № 7,                                                                 г. Тирасполь, ул. Крупской, д. 5</t>
  </si>
  <si>
    <t>Часть здания, состоящая из помещений 2-го этажа №№ 8, 9, 20, 22,                                   г. Тирасполь, ул. 1 Мая, д. 116</t>
  </si>
  <si>
    <t>Капитальной гараж № 4,                                                    г. Тирасполь, ул. 25 Октября, д. 114</t>
  </si>
  <si>
    <t>Часть здания, состоящая из полуподвальных помещений №№ 1, 5,                                            г. Тирасполь,  ул.Комарова, д. 17</t>
  </si>
  <si>
    <t>Часть здания, состоящая из помещения подвала № 27 ,                                                                            г. Тирасполь, ул. К. Либкнехта, 72</t>
  </si>
  <si>
    <t>Часть здания, состоящая из помещений 1-го этажа №№ 74 – 77, 77′, 78 - 81 ,                             г. Тирасполь, пер. Раевского, д. 10</t>
  </si>
  <si>
    <t>Часть здания, состоящая из помещений первого этажа №№  63-74,                                 г. Тирасполь, ул. Р. Люксембург, д. 77</t>
  </si>
  <si>
    <t>Часть здания, состоящая из помещений полуподвала №№ 1, 1а, 2, 2а, 3, 4, 5, 6, 7, 8, 9,                                                                              г. Тирасполь, ул. Федько, д. 22</t>
  </si>
  <si>
    <t>Часть здания, состоящая из помещений 1 этажа №№ 2, 15,16,23,24,33,                                                        г. Тирасполь, ул. Текстильщиков, д. 38</t>
  </si>
  <si>
    <t>Часть здания, состоящая из помещений подвала №№ 8-15,                                               г. Тирасполь, ул. Курчатова, д. 74</t>
  </si>
  <si>
    <t>Часть здания, состоящая из помещений 1-го этажа №№ 9, 10, 17, 18, 19, 20 ,                                                                    г. Тирасполь, ул. Сакриера, д. 57</t>
  </si>
  <si>
    <t>Часть здания, состоящая из помещений 1-го этажа №№ 37 - 43,                                                         г. Тирасполь, ул. К. Либкнехта, д. 377</t>
  </si>
  <si>
    <t>Часть здания, состоящая из помещений 1-го этажа №№ 18, 23, 24, 25, 35, 36, 37,                                                            г. Тирасполь, ул. Гвардейская, д. 42</t>
  </si>
  <si>
    <t>Часть здания, состоящая из помещений полуподвала № 8, 9,                                                               г. Тирасполь, ул. Энгельса, д. 15</t>
  </si>
  <si>
    <t>Часть здания, состоящая из помещений 1-го этажа №№ 16,                                                        г. Тирасполь, ул. Гвардейская, д. 44</t>
  </si>
  <si>
    <t>Часть здания, состоящая из помещений подвала №№ 1-17, 19-23, 25-34, 38-43,                                           г. Тирасполь, пер. 8 Марта, д. 3</t>
  </si>
  <si>
    <t>для размещения дежурной части Главного управления по чрезвычайным ситуациям МВД ПМР</t>
  </si>
  <si>
    <t>Министерство внутренних дел ПМР</t>
  </si>
  <si>
    <t>Здание, состоящая из помещений 1 и 2 этажа, а так же помещения подвала,                                          г. Тирасполь, ул. 25 Октября, д. 136</t>
  </si>
  <si>
    <t>№ 62 от 17.01.2022</t>
  </si>
  <si>
    <t>Государственная служба судебных исполнителей Министерства юстиции ПМР</t>
  </si>
  <si>
    <t>Часть здания МОУ «ТСШ № 12», состоящая из помещений 1-го этажа №№ 40, 42 ,                                                                             г. Тирасполь, ул. Юности, д. 38</t>
  </si>
  <si>
    <t>Часть здания МОУ «ТСШ № 11», состоящая из 1/3 части помещения 1-го этажа № 19 ,                                                                      г. Тирасполь, ул. К. Либкнехта, д. 185</t>
  </si>
  <si>
    <t>Часть здания МОУ «ТСШ № 11», состоящая из 1/3 части помещения 1-го этажа № 19,                                                          г. Тирасполь, ул. К. Либкнехта, д. 185</t>
  </si>
  <si>
    <t>Часть здания МОУ «ТСШ № 17», состоящая из 1/2 части помещения 1-го этажа № 7,                                                                г. Тирасполь, ул. Федько, д. 5</t>
  </si>
  <si>
    <t>Часть здания МОУ «ТСШ № 17», состоящая из 1/2 части помещения 1-го этажа № 7 ,                                                         г. Тирасполь, ул. Федько, д. 5</t>
  </si>
  <si>
    <t>Часть здания МОУ «ТСШ № 17», состоящая из 1/2 части помещения 1-го этажа № 7,                                                                      г. Тирасполь,  ул. Федько, д. 5</t>
  </si>
  <si>
    <t>Часть здания, состоящая из помещения 1-го этажа № 19 МОУ «ТСШ № 3 им. А.П. Чехова»,                                                               г. Тирасполь, ул. К. Маркса, д. 180</t>
  </si>
  <si>
    <t>Часть здания корпуса Б МОУ С(К)ОШ-И (спальный корпус), состоящая из помещений 1-го этажа №№ 2, 3 ,                                      г. Тирасполь, ул. Каховская, д. 17</t>
  </si>
  <si>
    <t>Часть здания МУ «Городской Дворец культуры», состоящая из помещения 1-го этажа № 15 ,                                                            г. Тирасполь, ул. 25 Октября, д. 51</t>
  </si>
  <si>
    <t>Часть здания, состоящая из помещений 1-го этажа (773,1 кв.м), помещений второго этажа №№ 23-26, 28-44 (379,9 кв.м), помещений третьего этажа №№ 36, 37, 40, 41 (93,4 кв.м),                                                         г. Тирасполь, ул. 25 Октября, д. 114</t>
  </si>
  <si>
    <t>Единому государственному фонду социального страхования ПМР</t>
  </si>
  <si>
    <t>Часть здания, состоящая из помещений 1-го этажа № 102 - 110, 110а, 111, 113 - 124 (общей площадью 352,4 кв. м); помещений 2-го этажа №№ 218 – 220, 222 - 228 (общей площадью 166 кв. м); помещений 4-го этажа №№ 429 - 431, 434 - 439, 439а, 445, 450 - 453 (общей площадью 235,7 кв. м); помещений подвала №№ 1-3, 10, 14, 28, 31, 32, 41, 43 (общей площадью 83,9 кв. м); металлического гаража № 2 (общей площадью 21,74 кв. м), капитального гаража № 10 (общей площадью 31,9 кв. м) ,                                                                                        г. Тирасполь, ул. 25 Октября, д. 101</t>
  </si>
  <si>
    <t>Часть здания, состоящая из помещений 2-го этажа №№ 229, 230, 231, 232,                        г. Тирасполь, ул. 25 Октября, д. 101</t>
  </si>
  <si>
    <t>Часть здания, состоящая из помещения  4-го этажа № 45 (каб. № 424) ,                                         г. Тирасполь, ул. 25 Октября, д. 101</t>
  </si>
  <si>
    <t>Часть здания, состоящая из помещений №№ 5, 15, 16,                                                             г. Тирасполь, ул. 25 Октября, д. 101</t>
  </si>
  <si>
    <t>Часть здания,  состоящая из помещения 4-го этажа № 30 (каб. 411),                                                 г. Тирасполь, ул. 25 Октября, д. 101</t>
  </si>
  <si>
    <t>Общественные организации</t>
  </si>
  <si>
    <t>Часть здания, состоящая из помещений  1-го этажа №№ 1 - 17 (165,4 кв.м), помещения подвала № 1 (27,2 кв.м),                              г. Тирасполь, ул. Котовского, д. 23</t>
  </si>
  <si>
    <t>Часть здания, состоящая из помещений полуподвала № 25,                                                             г. Тирасполь, ул. К. Либкнехта, д. 82</t>
  </si>
  <si>
    <t xml:space="preserve">Часть здания состоящая из помещений №№ 10,12,                                                                        г. Тирасполь, ул. 9 Января, д. 210 </t>
  </si>
  <si>
    <t>Часть здания, состоящая из помещений подвала №№ 1, 3,                                                                           г. Тирасполь, ул. Шевченко, д. 81/2</t>
  </si>
  <si>
    <t>Часть здания, состоящая из помещений подвала № 25, 26',                                                          г. Тирасполь, ул. Федько, д. 10</t>
  </si>
  <si>
    <t>Часть здания, состоящая из помещения  2-го этажа № 36,                                                      г. Тирасполь, ул. 25 Октября, д. 76</t>
  </si>
  <si>
    <t>Часть здания, состоящая из помещений подвала № 29,                                                             г. Тирасполь, ул. Федько, д. 10</t>
  </si>
  <si>
    <t>Часть здания, состоящая из помещений подвала №№ 1, 2, 3, 5, 5а, 29 ,                                            г. Тирасполь, ул. ХХ Партсъезда,                             д. 15 А</t>
  </si>
  <si>
    <t>Часть здания, состоящая из помещений подвала №№ 16, 16', 16'', 7,                                                 г. Тирасполь, ул. Федько, д. 12</t>
  </si>
  <si>
    <t>ОО «Тираспольский казачий округ» Черноморского казачьего войска</t>
  </si>
  <si>
    <t>Часть здания, состоящая из помещений полуподвала № 6 - 12, 18- 23,                                            г. Тирасполь, пер. 2-й Бородинский, д. 2</t>
  </si>
  <si>
    <t xml:space="preserve">Часть здания, состоящая из помещения подвала № 35,                                                                         г. Тирасполь, ул. Краснодонская, д. 36 </t>
  </si>
  <si>
    <t>Часть здания, лит.А, состоящая из подвальных помещений №№ 29-33, 35-46,                                                                               г. Тирасполь, ул. 1 Мая, д. 42</t>
  </si>
  <si>
    <t>для проведения тренировочного процесса регбистов ПМР</t>
  </si>
  <si>
    <t>Часть здания, состоящая из помещения полуподвала № 6,                                                                г. Тирасполь, ул. К. Либкнехта, д. 84</t>
  </si>
  <si>
    <t>Часть здания, состоящая из помещений подвала №№ 4-8, 11-16, 18, 21,                                    г. Тирасполь, ул. Карла Либкнехта,                      д. 205/2</t>
  </si>
  <si>
    <t>Часть здания, состоящая из помещений 2-го этажа №№ 13, 14 ,                                                  г. Тирасполь, ул. 25 Октября, д. 76</t>
  </si>
  <si>
    <t>Часть здания, состоящая из помещения полуподвала № 12,                                                          г. Тирасполь, ул. Юности, д. 8/4</t>
  </si>
  <si>
    <t xml:space="preserve">Часть здания, состоящая из помещения подвала№ 35,                                                                     г. Тирасполь, ул. Краснодонская, д. 36 </t>
  </si>
  <si>
    <t>Часть здания, состоящая из полуподвальных помещений № 28 ,                                                                    г. Тирасполь, ул. Юности, д. 8/4</t>
  </si>
  <si>
    <t>Часть здания, состоящая из помещений 2-го этажа № 21,                                                              г. Тирасполь, ул. 1 Мая, д. 116</t>
  </si>
  <si>
    <t>Часть здания, состоящая из помещения цокольного этажа № 26 ,                                                     г. Тирасполь, ул. Свердлова, д. 78</t>
  </si>
  <si>
    <t>Часть здания, состоящая из помещений 3-го этажа № № 16-22 ,                                                  г. Тирасполь, ул. Мира, д. 21А</t>
  </si>
  <si>
    <t>МУ "Управление по физической культуре с спорту г. Тирасполь",                     г. Тирасполь,                         бул. Гагарина, д. 1</t>
  </si>
  <si>
    <t>МУ "Управление культуры г. Тирасполь",                     г. Тирасполь,                         ул. Ленина, д. 13</t>
  </si>
  <si>
    <t>Государственная администрация города Тирасполь и города Днестровск,                                              г. Тирасполь, ул. 25 Октября, д. 101</t>
  </si>
  <si>
    <t>Часть здания, состоящая из помещений 2-го этажа №№ 21, 22 и подвала № 6,                                  г. Тирасполь, ул. 25 Октября, д. 114</t>
  </si>
  <si>
    <t>Капитальный гараж № 5 ,                                             г. Тирасполь, ул. 25 Октября, д. 114</t>
  </si>
  <si>
    <t>Комплекс строений, состоящая из Административного корпуса литер А (с пристройкой А1) – 485,2 кв.м, Мастерских литер В – 81,1 кв.м с пристройкой литер в, Столярной мастерской литер Д – 246,7 кв.м, Столовой литер Е – 238,6 кв.м, Складом литер Ж – 291,4 кв.м, Мастерской литер З – 61,3 кв.м, Склада литер И – 139,7 кв.м (с двумя сараями литер 1, 10, пятью гаражами литеры 4, 6, 8, 9, 12, бойлерной литер 5, зданием вахты литер 7),                                                                                   г. Тирасполь, ул. Лермонтова, д. 5</t>
  </si>
  <si>
    <t>Комплекс строений, состоящий из административного корпуса литер Б, склада литер Г и прилегающей к ним территорией,                                                                    г. Тирасполь, ул. Лермонтова, д. 5</t>
  </si>
  <si>
    <t>Часть здания, состоящая из помещения 2-го этажа № 40 (каб. 215),                                                    г. Тирасполь, ул. 25 Октября, д.  101</t>
  </si>
  <si>
    <t>Часть здания, состоящих из помещений 2-го этажа №№ 45, 46,                                                         г. Тирасполь, ул. 25 Октября, д. 114</t>
  </si>
  <si>
    <t xml:space="preserve">Муниципальным унитарным предприятиям и муниципальным учреждениям </t>
  </si>
  <si>
    <t>Часть здания, состоящая из помещений подвала № 14, 12,                                                          г. Тирасполь, ул. Свердлова, д. 86</t>
  </si>
  <si>
    <t>Часть здания, состоящая из помещения подвала № 1,                                                             г. Тирасполь, ул. Зелинского, д. 23</t>
  </si>
  <si>
    <t>Часть здания, состоящая из помещений подвала №№ 28, 29, 30, 31,                                                   г. Тирасполь, ул. Чапаева, д. 147</t>
  </si>
  <si>
    <t>Часть здания, состоящая из помещения подвала № 7,                                                                          г. Тирасполь, ул. Пушкина, д. 11</t>
  </si>
  <si>
    <t>Часть здания, состоящая из помещения подвала,                                                                          г. Тирасполь, ул. Правды, д. 11</t>
  </si>
  <si>
    <t>Часть здания, состоящая из помещений подвала №№ 9, 10,                                                            г. Тирасполь, ул. Гвардейская, д. 48</t>
  </si>
  <si>
    <t>Часть здания, состоящая из помещения подвала № 10,                                                                            г. Тирасполь, ул. Мира, д. 50/10</t>
  </si>
  <si>
    <t>Часть здания, состоящая из помещения подвала № 36,                                                                                 г. Тирасполь, пгт. Новотираспольский,                                         ул. Ленина, д. 1</t>
  </si>
  <si>
    <t>Часть здания, состоящая из помещений подвала №№ 8, 21, 24, 25,                                          г.Тирасполь, ул. К. Маркса, д. 152</t>
  </si>
  <si>
    <t>Часть здания, состоящая из помещений подвала №№ 3, 11, 11а, 12,                                           г.Тирасполь, ул. Котовского, д. 36</t>
  </si>
  <si>
    <t>Часть здания, состоящая из помещения подвала № 9,                                                   г.Тирасполь, ул. Мира, д. 48</t>
  </si>
  <si>
    <t>Часть здания, состоящая из помещения подвала № 11,                                                             г. Тирасполь, ул. К. Либкнехта, д. 201/1</t>
  </si>
  <si>
    <t>Часть здания, состоящая из помещений подвала № 14,                                                                              г. Тирасполь, ул. Шевченко, д. 81/2</t>
  </si>
  <si>
    <t>Часть здания, состоящая из помещения подвала № 18,                                                              г. Тирасполь, пер. Раевского, д. 10</t>
  </si>
  <si>
    <t xml:space="preserve">Часть здания, состоящая из помещений подвала № № 1, 2, 5, 6, 7,                                            г. Тирасполь, ул. Краснодонская, д. 42         </t>
  </si>
  <si>
    <t xml:space="preserve">Часть здания, состоящая из подвальных помещений №№ 1, 5, 6,                                                             г. Тирасполь, ул. Одесская, д. 78 </t>
  </si>
  <si>
    <t>Часть здания, состоящая из подлесничного помещения,                                                                    г. Тирасполь, пер. Вокзальный, 2</t>
  </si>
  <si>
    <t>Часть здания литер А1, состоящая из помещений 1-го этажа №№ 47-58, 60, помещений 2-го этажа №№ 42-45, 47, 50-55,                                                                                            г. Тирасполь, бульвар Гагарина, д. 1</t>
  </si>
  <si>
    <t>Часть здания, состоящая из помещений подвала  №№ 1-6,                                                         г. Тирасполь, ул. Калинина, д. 53</t>
  </si>
  <si>
    <t>Часть здания, состоящая из помещений подвала  №№ 17-28,                                                             г. Тирасполь, ул. Федько, д. 18</t>
  </si>
  <si>
    <t>Часть здания, состоящая из помещений подвала  №№ 3, 4, 5,                                                                    г. Тирасполь, ул. Краснодонская, д. 36/5</t>
  </si>
  <si>
    <t>Часть здания, состоящая из помещений подвала  №№ 6, 16,                                                        г. Тирасполь, ул. Федько, д. 18</t>
  </si>
  <si>
    <t>Часть здания, состоящая из помещений 2-го этажа №№  1-6,                                                                     г. Тирасполь, ул. 1 Мая,  д. 116</t>
  </si>
  <si>
    <t xml:space="preserve">МУ "УНО                                            г.  Тирасполь",                     г. Тирасполь, ул. Манойлова, д. 33                         </t>
  </si>
  <si>
    <t>Часть здания, состоящая из помещений второго этажа №№ 1-36,                                                             г. Тирасполь, ул. К. Либкнехта, д. 98А</t>
  </si>
  <si>
    <t>Часть здания, состоящая из помещения 3-го этажа №№ 20, 23 (каб. 301) ,                                         г. Тирасполь, ул. 25 Октября, д. 47</t>
  </si>
  <si>
    <t>Часть здания, состоящая из помещения коридора 1-го этажа № № 23, 24, 25,                                                       г. Тирасполь, ул. Р. Люксембург,                                              д. 69</t>
  </si>
  <si>
    <t>МУ "УФКиС                                            г.  Тирасполь",                     г. Тирасполь, бул. Гагарина, д. 1</t>
  </si>
  <si>
    <t>Часть здания литер 2 ,                                                                  г. Тирасполь, ул. 25 Октября, д. 36В</t>
  </si>
  <si>
    <t>Часть здания, состоящая из помещений 3-го этажа №№ 1 - 6, 19 - 21, 23 - 26,                                                   г. Тирасполь, ул. 25 Октября, д. 114</t>
  </si>
  <si>
    <t>Часть здания, состоящая из помещения 1-го этажа № 31 (каб. 125) ,                                                        г. Тирасполь, ул. 25 Октября, д. 101</t>
  </si>
  <si>
    <t xml:space="preserve">Государственным унитарным предприятиям и государственным учреждениям </t>
  </si>
  <si>
    <t>Часть здания, состоящая из помещений подвала №№ 1, 2,                                                                   г. Тирасполь, пр. Магистральный,                          д. 14</t>
  </si>
  <si>
    <t>Часть здания, состоящая из помещений подвала №№ 8, 9, 22,                                                   г. Тирасполь, ул. Юности, д. 27</t>
  </si>
  <si>
    <t>Часть здания, состоящая из подвального помещения № 41,                                                                     г. Тирасполь, ул. Юностия, д. 49</t>
  </si>
  <si>
    <t>Часть здания, состоящая из подвального помещения № 17,                                                                   г. Тирасполь, ул. 25 Октября, д. 105</t>
  </si>
  <si>
    <t>Часть здания, состоящая из помещений подвала № 2-4,                                                                           г. Тирасполь, ул. К. Либкнехта, д. 201/1</t>
  </si>
  <si>
    <t>Часть здания, состоящая из помещений подвала №№ 5, 11,                                                         г. Тирасполь, ул. Одесская, д. 82</t>
  </si>
  <si>
    <t xml:space="preserve">Часть здания, состоящая из помещений подвала №№ 54, 58, 59 и части помещения № 57,                                                              г. Тирасполь, ул. Краснодонская, д. 36 </t>
  </si>
  <si>
    <t>Часть здания, состоящая из помещений 1-го этажа №№ 53, 54, 55, 59, 61, 62 ,                                              г. Тирасполь, ул. Гвардейская, д. 48</t>
  </si>
  <si>
    <t>Часть здания, состоящая из помещений подвала  №№ 47-53, 55, 57-61, 66,                                                   г. Тирасполь, ул. Ленина, д. 22</t>
  </si>
  <si>
    <t>Часть здания, состоящая из помещений 1-го этажа №№ 1-22,                                                           г. Тирасполь, ул. Федько, д. 18</t>
  </si>
  <si>
    <t>Часть здания, состоящая из помещений 1-го этажа №№ 2, 4, 4", 5,                                                г. Тирасполь, ул. Сакриера, д. 57</t>
  </si>
  <si>
    <t>Часть здания, состоящая из помещений подвала  №№ 1-5, 18, 20,                                                 г. Тирасполь, ул. Юности, д. 15/2</t>
  </si>
  <si>
    <t>Часть здания, состоящая из помещений подвала № 25,                                                                  г. Тирасполь, ул. Гвардейская, д. 21</t>
  </si>
  <si>
    <t>Часть здания, состоящая из помещений подвала №№ 1, 2, 8, 9, 10,                                                   г. Тирасполь, ул. Котовского, д. 36</t>
  </si>
  <si>
    <t>Часть здания литер А, состоящая из помещений 1-го этажа №№ 1-23, 26-34, 36-66, 59а, 73, 74, 75, 76, 78, 79, 80 (906,1 кв.м) и помещений подвала №№ 21, 28, 29  (65,6 кв.м),                                                  г. Тирасполь, ул. Комсомольская, д.10/2</t>
  </si>
  <si>
    <t>Часть здания, состоящая из помещений подвала №№ 20 – 28 (108,8 кв. м), помещений 1-го этажа №№ 64 – 70, 72 – 85 (200,4 кв.м),                                                                    г. Тирасполь, ул.  Комсомольская, д. 1</t>
  </si>
  <si>
    <t>Часть здания, состоящая из помещения первого этажа № 11,                                                      г. Тирасполь, ул. Циолковского, д. 22</t>
  </si>
  <si>
    <t>Прочие организации</t>
  </si>
  <si>
    <t xml:space="preserve">Часть здания, крыш жилого дома,                                         г. Тирасполь, ул. К. Цеткин, д. 1/1   </t>
  </si>
  <si>
    <t xml:space="preserve">Часть здания, крыш жилого дома,                                       г. Тирасполь, ул. Крупской, д. 5 </t>
  </si>
  <si>
    <t>Часть технического этажа жилого дома,                                         г. Тирасполь, ул. Юности, д. 37</t>
  </si>
  <si>
    <t>Часть здания, состоящая из помещений 2-го этажа №№ 15, 16, 17, 18, 19, 20,                                        г. Тирасполь, ул. 25 Октября, д. 76</t>
  </si>
  <si>
    <t>Часть здания лит. А, состоящая из помещений второго этажа №№ 24, 25, 35,                                                                                              г. Тирасполь, ул. 25 Октября, д. 76</t>
  </si>
  <si>
    <t>Часть здания лит. А, состоящая из  чердачных помещений №№ 1, 1’, 2, 3,                                             г. Тирасполь, ул. Пушкина, д. 20</t>
  </si>
  <si>
    <t>Часть крыши жилого дома,                                                 г. Тирасполь, ул. Комсомольская, д. 9</t>
  </si>
  <si>
    <t>Часть крыши жилого дома,                                           г. Тирасполь, ул. 1 Мая, д. 50</t>
  </si>
  <si>
    <t>Часть здания литер Л,                                                    г. Тирасполь, ул. К. Либкнехта, д. 144А</t>
  </si>
  <si>
    <t>Часть спортивно-оздоровительного лагеря «Спартак», состоящий из литер Д, Д1 – столовая, общей площадью 333,4 кв.м;   литер Ж – жилой домик, общей площадью 454,6 кв.м; литер II – часть забора; литер IV – ворота; литер V – ворота; литер VII – навес; литер VIII – сцена; литер XIII – навес; литер 85 – туалет;       литер 86 – умывальник; литеры 87, 88, 89, 90, 91, 92, 93 – домики; литер 94 – погреб,                                                     Кицканский лес</t>
  </si>
  <si>
    <t>Часть здания литер А, состоящая из помещений второго этажа №№ 1, 2, 4, 5, 6, 7, 12 - 15,                                                                    г. Тирасполь, ул. 25 Октября, д. 114</t>
  </si>
  <si>
    <t>МУП "ИПЦ"</t>
  </si>
  <si>
    <t>Часть здания, состоящая из помещений вторго этажа  №№ 1, 3-10, 70 (каб. 236-244), капитальный гараж № 9,                                                 г.Тирасполь, ул. 25 Октября, д. 101</t>
  </si>
  <si>
    <t>Часть здания,  состоящая из помещений 4-го этажа №№ 31 - 33 (каб. 412 -  414),                                         г. Тирасполь, ул. 25 Октября, д. 101</t>
  </si>
  <si>
    <t>ПК ЖЭК "Гвардейский", г. Тирасполь, ул. Гвардейская, д. 44</t>
  </si>
  <si>
    <t>МУ "УНО г. Тирасполь",                        г. Тирасполь,               ул. Манойлова,                      д. 33</t>
  </si>
  <si>
    <t>МУ "УК г. Тирасполь",                          г. Тирасполь,                                ул. Ленина, д. 13</t>
  </si>
  <si>
    <t>Государственная администрация города Тирасполь и города Днестровск,                                              г. Тирасполь,                                      ул. 25 Октября,                                 д. 101</t>
  </si>
  <si>
    <t xml:space="preserve">МУ "УНО                                            г.  Тирасполь",                     г. Тирасполь,                             ул. Манойлова,                       д. 33                         </t>
  </si>
  <si>
    <t xml:space="preserve">МУ "УК                                            г.  Тирасполь",                     г. Тирасполь,                                ул. Ленина, д. 13                       </t>
  </si>
  <si>
    <t>МУ "УФКиС                                            г.  Тирасполь",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</si>
  <si>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ул. 25 Октября,      д. 101</t>
  </si>
  <si>
    <t>Государственная администрация города Тирасполь и города Днестровск,                                              г. Тирасполь,                            ул. 25 Октября,                          д. 101</t>
  </si>
  <si>
    <t>Часть здания МОУ «ТСШ № 5», состоящая из помещения 1-го этажа № 13,                                                                     г. Тирасполь, ул. Краснодонская, д. 62</t>
  </si>
  <si>
    <t>МУ "Служба социальной помощи                                 г. Тирасполь"</t>
  </si>
  <si>
    <t>МУ "УК                               г. Тирасполь"</t>
  </si>
  <si>
    <t>МУП "Спецавтохозяйство                                               г. Тирасполь"</t>
  </si>
  <si>
    <t>МУ "УНО                                г. Тирасполь</t>
  </si>
  <si>
    <t>МУП "Спецавтохозяйство,                                        г. Тирасполь"</t>
  </si>
  <si>
    <t>МУП "ЖЭУК                      г. Тирасполя"</t>
  </si>
  <si>
    <t>Государственная служба охранвы ПМР</t>
  </si>
  <si>
    <t>договора с обслуживающими организациями</t>
  </si>
  <si>
    <t>УВД                                                              г. Тирасполь</t>
  </si>
  <si>
    <t>УВД                                    г. Тирасполь</t>
  </si>
  <si>
    <t>ИТОГО</t>
  </si>
  <si>
    <t>МУ "УФКиС г. Тирасполь",                                                на основании поручения Правительства ПМР от 26.03.2020 № 01-35/23</t>
  </si>
  <si>
    <t>№ 1964 от 24.07.2018,                            № 836 от 31.03.2020</t>
  </si>
  <si>
    <t xml:space="preserve">МУП "ЖЭУК г. Тирасполь",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</t>
  </si>
  <si>
    <t xml:space="preserve">ПК ЖЭК "Гвардейский",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</t>
  </si>
  <si>
    <t xml:space="preserve">МУ "УНО г. Тирасполь",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</si>
  <si>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673 от 21.03.2022</t>
  </si>
  <si>
    <t>Депутат ТГСНД Иващук Дмитрий Леонидович</t>
  </si>
  <si>
    <t>Часть здания, состоящая из помещения 1-го этажа № 28,                                                                             г. Тирасполь, ул. Карла Либкнехта, д. 98А7</t>
  </si>
  <si>
    <t>для приема граждан по избирательному округу по графику: первый и третий четверг месяца с 16:30 часов до 18:00 часов</t>
  </si>
  <si>
    <t>Часть здания МОУ «ТСШ № 5», состоящая из помещения 1-го этажа № 13,                                                                         г. Тирасполь, ул. Краснодонская, д. 62</t>
  </si>
  <si>
    <t xml:space="preserve">МУП "ЖЭУК г. Тирасполя",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</si>
  <si>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334 от 14.02.2022</t>
  </si>
  <si>
    <t>Металлический гараж № 1,                                         г. Тирасполь, ул. 25 Октября, д. 101</t>
  </si>
  <si>
    <t>для размещения служебного авромобиля и материального имущества Управления Народного ополчения</t>
  </si>
  <si>
    <t>Приложение № 3</t>
  </si>
  <si>
    <t>Часть здания, состоящая из помещений                     2-го этажа №№ 1, 10 – 15 и помещений                          3-го этажа №№ 10 - 16 ,                                                               г. Тирасполь, ул. 95 Молдавской дивизии, д. 2 Б</t>
  </si>
  <si>
    <t>договора с обслуживающей организацией</t>
  </si>
  <si>
    <t>для размещения первичной организации № 13                              по согласованному графику: вторник                         с 11:00 часов  до 12:00 часов</t>
  </si>
  <si>
    <t xml:space="preserve">ГУП "Водоснабжение и водоотведение", частично по договорам с обслуживающими организациями и частично по счетам Балансодержателя                                               </t>
  </si>
  <si>
    <t xml:space="preserve">Часть здания, крыш жилого дома,                                                       г. Тирасполь, ул. Свердлова, д. 70           </t>
  </si>
  <si>
    <t>ОО «Станица «Тираспольская» имени генерал-майора Бондарчука В.Г. Тираспольского казачьего округа Черноморского казачьего войска»</t>
  </si>
  <si>
    <t>Часть здания, состоящая из помещений подвала №№ 15, 18,                                                         г. Тирасполь, ул. К. Либкнехта, д. 72</t>
  </si>
  <si>
    <t>для проведения собраний членов  организации</t>
  </si>
  <si>
    <t xml:space="preserve"> размещение офиса представительства Республики Абхазии</t>
  </si>
  <si>
    <t>не оплачиваются</t>
  </si>
  <si>
    <t>размещение ГУ "Республиканский центр по протезированию и ортопедии"</t>
  </si>
  <si>
    <t>теплоэнергия, водоснабжение и водоотведение не оплачиваются</t>
  </si>
  <si>
    <t>№ 1380 от 09.06.2022</t>
  </si>
  <si>
    <t>коммуникации отсутствуют</t>
  </si>
  <si>
    <t>№ 365 от 16.02.2022</t>
  </si>
  <si>
    <t>коммуникация отсутствует</t>
  </si>
  <si>
    <t>№ 366 от 16.02.2022</t>
  </si>
  <si>
    <t>оплачивает ОО "ТО "Чернобыль"</t>
  </si>
  <si>
    <t>Капитальный гараж № 14,                                                                    г. Тирасполь, ул. 25 Октября, д. 101</t>
  </si>
  <si>
    <t>за электричество не оплачивают. Установлен генератор.</t>
  </si>
  <si>
    <t>№ 1813 от 21.07.2022</t>
  </si>
  <si>
    <t>Фонд государственного резерва ПМР                             (гос долг 10 840 руб.)</t>
  </si>
  <si>
    <t>доп соглашения</t>
  </si>
  <si>
    <t>доп.соглашение №№1, 2 по изменению лимитов по уплавте коммунальных платежей</t>
  </si>
  <si>
    <t>Часть здания, состоящая из полуподвального помещения № 13,                                                                                г. Тирасполь, ул. Юности, д. 8/4</t>
  </si>
  <si>
    <t>Часть здания, состоящая из помещения 1-го этажа № 20 ,                                                                                            г. Тирасполь, ул. Текстильщиков, д. 38</t>
  </si>
  <si>
    <t>Часть здания литер А, состоящая из помещения машинного зала лифтовой № 4,                                                                      г. Тирасполь, ул. Манойлова, д. 36</t>
  </si>
  <si>
    <t>Часть здания, состоящая из помещений 1-го этажа №№ 5, 6, 7 ,                                                                   г. Тирасполь, ул. Гвардейская, д. 44</t>
  </si>
  <si>
    <t>Часть здания корпуса Б МОУ С(К)ОШ-И (спальный корпус), состоящая из помещений 1-го этажа №№ 2, 3,                                                                         г. Тирасполь, ул. Каховская, д. 17</t>
  </si>
  <si>
    <t>Часть здания, состоящая из помещений 2-го этажа №№ 12, 14, 58, 59 (каб. 233, 234, 245, 246),                                                                                    г. Тирасполь, ул. 25 Октября, д. 101</t>
  </si>
  <si>
    <t>Часть здания, состоящая из помещения 2-го этажа № 12,                                                                                  г. Тирасполь, ул. Свердлова, д. 78</t>
  </si>
  <si>
    <t>МУП "ТПСО",                    г. Тирасполь,                                    ул. Свердлова,                                д. 57 (3 эт.)</t>
  </si>
  <si>
    <t>Здание литер Б, состоящая из помещений 1-го этажа №№ 1 – 4ъ                                                          г. Тирасполь, ул. 25 Октября, д. 116</t>
  </si>
  <si>
    <t>Часть здания, состоящая из помещения подвала № 26/1,                                                     г. Тирасполь, ул. Федько, д. 10</t>
  </si>
  <si>
    <t>Каменный гараж № 2,                                            г. Тирасполь, пер. 8 Марта, д. 3</t>
  </si>
  <si>
    <t>НП "Диаспора ромов "Шатер на Днестре"</t>
  </si>
  <si>
    <t>Часть здания, состоящая из помещений полуподвала  №№ 1, 2, 3, 4, 5, 6, 7, 33, 34,                                                                                 г. Тирасполь, ул. Текстильщиков, д. 24/5</t>
  </si>
  <si>
    <t>для размещения организации НП "Диаспора ромов "Шатер на Днестре"</t>
  </si>
  <si>
    <t>ОО "Республиканский союз защитников ПМР"</t>
  </si>
  <si>
    <t>Часть здания, состоящая из помещений подвала №№ 4, 4а, 5, 5а, 17, 18, 19, 19а, 20, 21, 22,                                                                              по адресу: г. Тирасполь, ул. Восстания, д. 93</t>
  </si>
  <si>
    <t>Часть здания, состоящая из помещений подвала №№ 1, 2, 21, 22, 23, 24, 25,                     по адресу: г. Тирасполь, ул. Петровского, д. 97</t>
  </si>
  <si>
    <t>Часть здания, состоящая из помещений подвала №№ 19, 20, 21,                                                        по адресу: г. Тирасполь, ул. Петровского, д. 99</t>
  </si>
  <si>
    <t>ддля размещения Военно-спортивных клубов «БАРС»</t>
  </si>
  <si>
    <t>№ 1931 от 01.08.2022</t>
  </si>
  <si>
    <t>№ 1981 от 05.08.2022</t>
  </si>
  <si>
    <t>№ 1980 от 05.08.2022</t>
  </si>
  <si>
    <t>№ 2027 от 11.08.2022</t>
  </si>
  <si>
    <t>№ 2104 от 18.08.2022</t>
  </si>
  <si>
    <t>НП СГП «Женщины-инвалиды Приднестровья»</t>
  </si>
  <si>
    <t>Часть здания, состоящая из помещений подвала № 26',                                                          г. Тирасполь, ул. Федько, д. 10</t>
  </si>
  <si>
    <t>для проведения уставной деятельности организации  по графику: вторник, пятница с 13:00 часов до 15:00 часов</t>
  </si>
  <si>
    <t>№ 2229 от 06.09.2022</t>
  </si>
  <si>
    <t>пом. № 26' - для хранения имущества,                           пом. № 25 - для проведения уставной деятельности организации  по графику: понедельник, четверг с 12:00 ч. до 14:00 ч.</t>
  </si>
  <si>
    <t>№ 2315 от 12.09.2022</t>
  </si>
  <si>
    <t>Часть здания, состоящая из помещения                       1-го этажа № 40 МОУ «ТСШ № 18» ,                                г. Тирасполь, ул. Комсомольская, д. 4/3</t>
  </si>
  <si>
    <t>Часть здания, состоящая из помещений                 1-го этажа №№ 27 -31, 33, 35, 36,                                       г. Тирасполь, ул. К.Либкнехта, д. 98А</t>
  </si>
  <si>
    <t>№ 1660                  от 25.06.2021</t>
  </si>
  <si>
    <t>услуги ЖКХ</t>
  </si>
  <si>
    <t>Часть здания, состоящая из помещения                       2-го этажа № 22,                                                         г. Тирасполь, ул. 25 Октября, д. 76</t>
  </si>
  <si>
    <t>под размещение                 ОО "Союз русских общин Приднестровья"</t>
  </si>
  <si>
    <t>Часть здания, состоящая из помещения                2-го этажа № 11 ,                                                                        г. Тирасполь, ул. 25 Октября, д. 114</t>
  </si>
  <si>
    <t>Часть здания. состоящая из помещений                   2-го этажа № 11,                                                                            г. Тирасполь,  ул. 25 Октября, д. 76</t>
  </si>
  <si>
    <t>ПК "Садово-огородническое товарищество "Сад ветеранов"</t>
  </si>
  <si>
    <t>№ 2764 от 17.10.2018, внесено изм.                        № 1934 от 2.08.2022</t>
  </si>
  <si>
    <t>Часть здания, состоящая из помещений 1-го этажа №№ 56, 57, 58, 63,                                                          г. Тирасполь, ул. Гвардейская, д. 48</t>
  </si>
  <si>
    <t>№ 2023 от 2.08.2021,                внес. изм.                            № 2054 от 16.08.2022</t>
  </si>
  <si>
    <t xml:space="preserve">доп. согл. по исключению объекта </t>
  </si>
  <si>
    <t>доп. согл. по ум. площади</t>
  </si>
  <si>
    <t>Часть здания, состоящая из помещений 4-го этажа №№ 10, 39, 18-23, 25, 70 (каб. 401, 402, 403, 404, 405, 406, 407, 418, 447) (131,1 кв. м), и металлический гараж № 4 (21,74 кв. м),                                                                                                          г. Тирасполь, ул. 25 Октября, д. 101</t>
  </si>
  <si>
    <t>Часть здания, состоящая из помещения                         № 16 ,                                                                             г. Тирасполь, ул. 25 Октября, д. 114</t>
  </si>
  <si>
    <t>доп соглашения по освобождению от уплаты ком. услуг</t>
  </si>
  <si>
    <t>№ 2872 от 3.11.2021, внес. изм.                        № 1501 от 22.06.2022</t>
  </si>
  <si>
    <t>№ 835 от 31.03.2020, внес. изм.                        № 1491 от 21.06.2022</t>
  </si>
  <si>
    <t>УВД г. Тирасполь                                     МВД ПМР</t>
  </si>
  <si>
    <t>Часть здания, состоящая из кабинетов 4-го этажа №№ 419 – 423, 425-428, 432, 440, 441, 443, 444, 448, 449 (283,6 кв.м),  и каменного гаража № 12 (30,2 кв.м),                                                           г. Тирасполь, ул. 25 Октября, д. 101</t>
  </si>
  <si>
    <t xml:space="preserve">Часть здания, состоящая из помещений подвала    №№ 7, 8, 9, 12, 13,                                                   г. Тирасполь, ул. К. Либкнехта, д. 72 </t>
  </si>
  <si>
    <t>ОО "Федерация бокса                             г. Тирасполь"</t>
  </si>
  <si>
    <t>№ 3162 от 5.12.2019, внес. изм.                             № 2308 от 27.08.2021,                        № 884 от 08.04.2022</t>
  </si>
  <si>
    <t>Часть здания, состоящая из ½ нежилых помещений технического этажа №№ 1, 2,                                                           г. Тирасполь, ул. 25 Октября, д. 108</t>
  </si>
  <si>
    <t>№ 13 от 11.01.2023</t>
  </si>
  <si>
    <t>№ 3215 от 19.12.2022</t>
  </si>
  <si>
    <t>Часть здания, состоящая из помещений подвала №№ 6, 7, 8, 9, 10, 11, 12,                                                                      г. Тирасполь, ул. Одесская, д. 80/5</t>
  </si>
  <si>
    <t>№ 3107 от 09.12.2022</t>
  </si>
  <si>
    <t>№ 3364 от 29.12.2022</t>
  </si>
  <si>
    <t>№ 3213 от 19.12.2022</t>
  </si>
  <si>
    <t>№ 3474 от 29.12.2021, внес. изм.                  № 16 от 11.01.2023</t>
  </si>
  <si>
    <t>Часть здания, состоящая из ½ технического этажа №№ 1, 2,                                                       г. Тирасполь, ул. 25 Октября, д. 108</t>
  </si>
  <si>
    <t>№ 2687 от 28.10.2022</t>
  </si>
  <si>
    <t>Депутат ВС ПМР Липский Вадим Георгиевич</t>
  </si>
  <si>
    <t>для приема граждан по избирательному округу № 26 «Бородинский» по графику: каждый четверг с 17:00 часов до 19:00 часов</t>
  </si>
  <si>
    <t>МУП "ИГЦ"</t>
  </si>
  <si>
    <t>№ 3361 от 28.12.2022</t>
  </si>
  <si>
    <t>№ 2836 от 15.11.2022</t>
  </si>
  <si>
    <t>Часть здания, состоящая из помещений подвала №№ 4, 6, 10, 11, 17, 19, 20, 23 и 1/2 помещения 16,                                                         г. Тирасполь, ул. К. Либкнехта, д. 72</t>
  </si>
  <si>
    <t>для осуществления уставной деятельности организации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</si>
  <si>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от 16.03.2023 № 34 (ндп)</t>
  </si>
  <si>
    <t>под хозяйственное помещение</t>
  </si>
  <si>
    <t>№ 3216 от 19.12.2022</t>
  </si>
  <si>
    <t>Часть здания, состоящая из помещения подвала № 9                                                        г. Тирасполь, ул. Текстильщиков, д. 38</t>
  </si>
  <si>
    <t>для хронения ТМЦ</t>
  </si>
  <si>
    <t>№ 655 от 27.03.2023</t>
  </si>
  <si>
    <t>№ 3384 от 29.12.2022</t>
  </si>
  <si>
    <t>Часть здания, состоящая из помещений подвала №№ 23, 24, 26, 27, 45, 46, 47,                                                                                   г. Тирасполь, ул. Свердлова, д. 70</t>
  </si>
  <si>
    <t>№ 3357 от 28.12.2022</t>
  </si>
  <si>
    <t>МОО «Ново-Тираспольский Совет ветеранов войны и труда «Современник»</t>
  </si>
  <si>
    <t>Часть здания, состоящая из помещений подвала №№ 23, 27,                                                 г. Тирасполь,  п. Новотираспольский,                     пер. Молодежный, д. 7</t>
  </si>
  <si>
    <t>для осуществления уставной деятельности МОО «Совет ветеранов «Современник»</t>
  </si>
  <si>
    <t>№ 592 от 20.03.2023</t>
  </si>
  <si>
    <t>№ 778 от 10.04.2023</t>
  </si>
  <si>
    <t xml:space="preserve">МУП "ЖЭУК г.  Тирасполь",                                                в соотсетствии  пункта 22 Решения ТГСНД 
от 9 февраля 2023 года № 4 </t>
  </si>
  <si>
    <t>№ 576 от 17.03.2023</t>
  </si>
  <si>
    <t>Часть здания, состоящая из помещений подвала № № 3, 4, 12,                                                                  г. Тирасполь, ул. Каховская, д. 13/4</t>
  </si>
  <si>
    <t>№ 2024 от 02.08.2021,  внес. измен.                        № 3325 от 29.12.2022</t>
  </si>
  <si>
    <t>№ 539 от 16.03.2023</t>
  </si>
  <si>
    <t>для осуществления деятельности территориального подразделения Государственной службы опеки и попечительства, поддержки семей в группе Министерства по социальной защите и труду ПМР</t>
  </si>
  <si>
    <t>№ 1308 от 30.05.2022,                           внес. изм.                                     № 242                                                     от 7.02.2023, № 393                                    от 21.02.2023</t>
  </si>
  <si>
    <t>Гаражи литер Б №№ 1, 2, 3, 6,                                                            г. Тирасполь, ул. Горького, д. 6</t>
  </si>
  <si>
    <t>№ 540 от 16.03.2023</t>
  </si>
  <si>
    <t>№ 543 от 16.03.2023</t>
  </si>
  <si>
    <t>Часть здания, состоящая из помещений полуподвала №№ 14, 15, 25, 26 ,                                     г. Тирасполь, ул. К. Либкнехта, д. 82</t>
  </si>
  <si>
    <t>Часть здания, состоящая из помещений подвала  №№ 15,16, 23, 24,25,                                              г. Тирасполь, ул. Калинина, д. 66</t>
  </si>
  <si>
    <t xml:space="preserve">РОО «Федерация по гребле на байдарках и каноэ Приднестровья» </t>
  </si>
  <si>
    <t>№ 3001 от 29.11.2022</t>
  </si>
  <si>
    <t xml:space="preserve">длдля размещения офиса ОО "Союз писателей Приднестровья" и архива литфонда писателей   </t>
  </si>
  <si>
    <t>№ 2930 от 22.11.2022</t>
  </si>
  <si>
    <t>для размещения и функционирования реабилитационного центра для детей и молодых людей с психоневрологеским отклонением в развитии</t>
  </si>
  <si>
    <t xml:space="preserve">№ 3256 от 20.12.2022                                     </t>
  </si>
  <si>
    <t xml:space="preserve">задолженность МУП "ТКДП "Школьник" за период с 11.08.2020 по 27.05.2021,                                      с 27.02.2021                                               МУ "УНО  г.  Тирасполь",                            в соотсетствии с решениями ТГСНД                                                      от 29.07.2021 № 7,                                                          от 17.02.2022 № 13,                         от 15.12.2022 № 79 
</t>
  </si>
  <si>
    <t>МУП "Спортивный комплекс "Тирасполь",                     г. Тирасполь,                         ул. Мира, д. 21</t>
  </si>
  <si>
    <t>1/4 части футбольного поля с искусственным покрытием литер XI,                                г. Тирасполь, ул. Мира, д. 21</t>
  </si>
  <si>
    <t>Футбольное поле с искусственным покрытием литер XII,                                                           г. Тирасполь, ул. Мира, д. 21</t>
  </si>
  <si>
    <t>для размещения раздевалок, санузлов и душевых 
МОУ ДО «СДЮШОР № 4»</t>
  </si>
  <si>
    <t>для занятий регби с 1 марта 2023 года по 31 ноября 2023 года по графику</t>
  </si>
  <si>
    <t>для занятий бейсбола с 1 марта 2023 года по 31 ноября 2023 года по графику</t>
  </si>
  <si>
    <t>Часть здания административно-спортивного корпуса литер А, состоящая из помещений №№ 53, 54, 55, 56                                               (70,5 кв. м), и часть здания литер Д, состоящая из помещений №№ 1, 2, 3, 4, 5, 6, 7, 8 (107,3 кв. м),                                                                            г. Тирасполь, ул. Мира, д. 21</t>
  </si>
  <si>
    <t>№ 3383 от 29.12.2022</t>
  </si>
  <si>
    <t>МУП "Спортивный комплекс "Тирасполь",                     г. Тирасполь,                         ул. Мира, д. 20</t>
  </si>
  <si>
    <t>ОО «Спортивный клуб инвалидов с нарушением опорно-двигательного аппарата по настольному теннису «ТИРАС-РАКЕТА»</t>
  </si>
  <si>
    <t xml:space="preserve">Часть здания административно-спортивного корпуса литер А, состоящая из помещений №№ 29, 30, 36, 37                                      ,г. Тирасполь, ул. Мира, д. 21               </t>
  </si>
  <si>
    <t>для проведения тренировок и соревнований по настольному теннису среди инвалидов</t>
  </si>
  <si>
    <t>Государственная администрация города Тирасполь и города Днестровск,                  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                                            от 16.03.2023 № 34 (ндп)</t>
  </si>
  <si>
    <t xml:space="preserve">доп соглашения по освобождению от уплаты ком. услуг за 2022 год </t>
  </si>
  <si>
    <t xml:space="preserve">в процессе оформления договоров с обслуживающими организациями (оплату поизведут в III квартале) </t>
  </si>
  <si>
    <t xml:space="preserve">доп. соглашение, на основании Распоряжения Правительства ПМР от 30.03.2023 г. № 258р «Об отнесении общественной организации «Спортивный клуб инвалидов с нарушением опорно-двигательного аппарата по настольному теннису «ТИРАС-РАКЕТА» к категории потребителей в сфере электроэнергетики, услуг по снабжению тепловой энергией (отопление, подогрев воды, горячее водоснабжение), услуг водоснабжения и водоотведения (канализация) «организации, осуществляющие  социально-культурную и иную общественную деятельность» </t>
  </si>
  <si>
    <t>договор закончился 31.05.2023</t>
  </si>
  <si>
    <t>№ 1414 от 16.06.2023</t>
  </si>
  <si>
    <t>Часть гаража литер Д1 № 1,                                                г. Тирасполь, ул. Каховская, д. 17</t>
  </si>
  <si>
    <t>доп соглашения по освобождению от уплаты ком. услуг                             с 27.05.2021 г.                    по 31.12.2022 г.                            Задолженность образовалась за период с 5.12. 2019 г. по                        27 мая 2021 г.,                           и за 1 полугодия 2023 г.</t>
  </si>
  <si>
    <t>№ 1389 от 14.06.2023</t>
  </si>
  <si>
    <t xml:space="preserve"> Часть здания, состоящая из помещений 2-го этажа №№ 1, 2, 4 - 8, 8а, 9 – 19,                             г. Тирасполь, ул. Мира, д. 21 А</t>
  </si>
  <si>
    <t>Министерство финансов ПМР                                  (гос долг 358 651,19 руб.)</t>
  </si>
  <si>
    <t>№ 1240 от 02.06.2023</t>
  </si>
  <si>
    <t>№ 1549 от 27.06.2023</t>
  </si>
  <si>
    <t>№ 1342 от 12.06.2023</t>
  </si>
  <si>
    <t>Часть здания, состоящая из помещений 1-го этажа № 28,                                                            г. Тирасполь, ул. 1 Мая, д. 116</t>
  </si>
  <si>
    <t>МУП "ЖЭУК г.  Тирасполь",                                                в соотсетствии с Решением ТГСНД                                                                                 от 16.03.2023 № 34 (ндп)</t>
  </si>
  <si>
    <t>доп соглашения по освобождению от уплаты ком. услуг.                                          Срок действия договора истек</t>
  </si>
  <si>
    <t>№ 1340  от 12.06.2023</t>
  </si>
  <si>
    <t>№ 1032 от 16.05.2023</t>
  </si>
  <si>
    <t>№ 766 от 7.04.2023</t>
  </si>
  <si>
    <t>№ 1415 от 16.06.2023</t>
  </si>
  <si>
    <t>№ 1529 от 26.06.2023</t>
  </si>
  <si>
    <t>Часть здания, состоящая из помещений 1-го этажа №№ 65-69, 71, 72 и часть помещения № 64,                                               г. Тирасполь, ул. Федько, д. 17</t>
  </si>
  <si>
    <t>№ 1028 от 16.05.2023</t>
  </si>
  <si>
    <t>Часть здания, состоящая из помещений 1-го этажа № 60, части помещения № 59 , г. Тирасполь, пер. Западный, д. 19/7</t>
  </si>
  <si>
    <t>Часть здания, состоящая из помещений подвала №№ 1 – 4 и 1/2 помещения № 5, г. Тирасполь, ул. Текстильщиков, д. 14</t>
  </si>
  <si>
    <t xml:space="preserve">16.069.2023 </t>
  </si>
  <si>
    <t>№ 1501 от 22.06.2023</t>
  </si>
  <si>
    <t xml:space="preserve">Часть здания лит. А, состоящая из помещений 16-го, 17-го  и 18-го этажей, г. Тирасполь, ул. Юности,  д. 1 </t>
  </si>
  <si>
    <t>для размещения                                         служебных помещений                                      ГУ «Приднестровская государственная телерадиокомпания»</t>
  </si>
  <si>
    <t>№ 1411 от 15.06.2023</t>
  </si>
  <si>
    <t>№ 1409 от 15.06.2023</t>
  </si>
  <si>
    <t xml:space="preserve"> Часть здания, состоящая из помещений полуподвала №№ 20, 21, 22, 23, 24, 25,                                                                        г. Тирасполь, ул. Чапаева, д. 147</t>
  </si>
  <si>
    <t>для размещения лифтерский и мастерской</t>
  </si>
  <si>
    <t>№ 1341 от 12.06.2023</t>
  </si>
  <si>
    <t>Договор расторгнут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</si>
  <si>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от 16.03.2023 № 34 (ндп)</t>
  </si>
  <si>
    <t>МУП "ЖЭУК г.  Тирасполь",                                                в соотсетствии                                              с Решением ТГСНД                                        от 20.082023 года № 59</t>
  </si>
  <si>
    <t>№ 1422 от 19.06.2023</t>
  </si>
  <si>
    <t>№ 1412 от 15.06.2023</t>
  </si>
  <si>
    <t>Часть здания, состоящая из помещений 1, 2, 3, 4, 5, 6 этажей и помещения подвала №№ 18, 35, 36, 37,                                            г. Тирасполь, пер. 8 Марта, д. 3</t>
  </si>
  <si>
    <t>№ 1343 от 12.06.2023</t>
  </si>
  <si>
    <t>ПК ЖЭК "Небоскреб",                                     г. Тирасполь,                         ул. Одесская,                                    д. 88/1</t>
  </si>
  <si>
    <t>ЧЧасть здания, состоящая из помещений 1-го этажа №№ 16, 17, 18, 19, 20,                                                           г. Тирасполь, ул. Одесская, д. 88/1</t>
  </si>
  <si>
    <t>по состоянию на 01 июля  2023 года</t>
  </si>
  <si>
    <t>№ 3385 от 29.12.2022</t>
  </si>
  <si>
    <t>№ 1275 от 5.06.2023</t>
  </si>
  <si>
    <t>Часть здания, состоящая из помещения цокольного этажа (бокса) №  8 (48 кв.м), и помещений 2-го этажа №№  24, 25, 26, 27 (53 кв.м),                                                         г. Тирасполь, ул. 25 Октября, д. 36В</t>
  </si>
  <si>
    <t>МУ "УФКиС г. Тирасполь",                           г. Тирасполь,                                 бул. Гагарина,                    д. 1</t>
  </si>
  <si>
    <t>МУ "УФКиС г. Тирасполь",                           г. Тирасполь,                                 бул. Гагарина,                          д. 1</t>
  </si>
  <si>
    <t>№ 1410 от 15.06.2023</t>
  </si>
  <si>
    <t>№ 1276 от 5.06.2023</t>
  </si>
  <si>
    <t>к Решению Тираспольского городского Совета народных депутатов № __ от 21.09.2023г.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</si>
</sst>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entury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11" fillId="3" borderId="0" xfId="0" applyFont="1" applyFill="1" applyBorder="1"/>
    <xf numFmtId="0" fontId="5" fillId="3" borderId="2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7" fillId="3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5" fillId="0" borderId="0" xfId="0" applyFont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" fontId="12" fillId="3" borderId="0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0" fillId="3" borderId="11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0" fillId="3" borderId="15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4" fontId="0" fillId="3" borderId="12" xfId="0" applyNumberForma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" fontId="5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0" fillId="3" borderId="3" xfId="0" applyNumberFormat="1" applyFill="1" applyBorder="1" applyAlignment="1">
      <alignment horizontal="right" vertical="center" wrapText="1"/>
    </xf>
    <xf numFmtId="4" fontId="0" fillId="3" borderId="4" xfId="0" applyNumberForma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2" xfId="0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17" fillId="3" borderId="0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wrapText="1"/>
    </xf>
    <xf numFmtId="0" fontId="12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4" fontId="17" fillId="3" borderId="0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3" xfId="0" applyFill="1" applyBorder="1" applyAlignment="1">
      <alignment horizontal="right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4" xfId="0" applyFill="1" applyBorder="1" applyAlignment="1">
      <alignment horizontal="right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4" fontId="7" fillId="3" borderId="7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0" fillId="3" borderId="5" xfId="0" applyFill="1" applyBorder="1" applyAlignment="1">
      <alignment vertical="center" wrapText="1"/>
    </xf>
    <xf numFmtId="0" fontId="0" fillId="3" borderId="15" xfId="0" applyFill="1" applyBorder="1" applyAlignment="1">
      <alignment wrapText="1"/>
    </xf>
    <xf numFmtId="0" fontId="0" fillId="3" borderId="6" xfId="0" applyFill="1" applyBorder="1" applyAlignment="1">
      <alignment vertical="center" wrapText="1"/>
    </xf>
    <xf numFmtId="0" fontId="0" fillId="3" borderId="14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5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wrapText="1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4" fontId="0" fillId="0" borderId="3" xfId="0" applyNumberFormat="1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4" fontId="5" fillId="3" borderId="3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4" fontId="5" fillId="3" borderId="4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2" xfId="0" applyFill="1" applyBorder="1" applyAlignment="1">
      <alignment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4" fontId="5" fillId="0" borderId="5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07"/>
  <sheetViews>
    <sheetView tabSelected="1" zoomScale="93" zoomScaleNormal="93" zoomScaleSheetLayoutView="91" workbookViewId="0">
      <selection activeCell="S82" sqref="S82"/>
    </sheetView>
  </sheetViews>
  <sheetFormatPr defaultRowHeight="14.4" x14ac:dyDescent="0.3"/>
  <cols>
    <col min="1" max="1" width="4.109375" style="1" customWidth="1"/>
    <col min="2" max="2" width="11.109375" style="1" customWidth="1"/>
    <col min="3" max="3" width="10.88671875" style="1" customWidth="1"/>
    <col min="4" max="4" width="10.5546875" style="1" customWidth="1"/>
    <col min="5" max="5" width="13.109375" style="1" customWidth="1"/>
    <col min="6" max="6" width="13.33203125" style="1" customWidth="1"/>
    <col min="7" max="7" width="15.109375" style="1" customWidth="1"/>
    <col min="8" max="8" width="28.109375" style="1" customWidth="1"/>
    <col min="9" max="9" width="18.5546875" style="1" customWidth="1"/>
    <col min="10" max="10" width="10.109375" style="1" customWidth="1"/>
    <col min="11" max="11" width="10.33203125" style="1" customWidth="1"/>
    <col min="12" max="12" width="9.5546875" style="1" customWidth="1"/>
    <col min="13" max="13" width="14.5546875" style="1" customWidth="1"/>
    <col min="14" max="14" width="8.88671875" style="1" customWidth="1"/>
    <col min="15" max="15" width="9.44140625" style="1" customWidth="1"/>
    <col min="16" max="16" width="15.6640625" style="1" customWidth="1"/>
    <col min="17" max="17" width="13.6640625" style="1" customWidth="1"/>
    <col min="18" max="18" width="6.44140625" style="13" customWidth="1"/>
    <col min="19" max="19" width="6.44140625" style="4" customWidth="1"/>
    <col min="20" max="20" width="6.44140625" style="30" customWidth="1"/>
    <col min="21" max="41" width="6.44140625" style="13" customWidth="1"/>
    <col min="42" max="16384" width="8.88671875" style="13"/>
  </cols>
  <sheetData>
    <row r="1" spans="1:20" s="227" customFormat="1" ht="14.4" customHeight="1" x14ac:dyDescent="0.3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N1" s="410"/>
      <c r="O1" s="411" t="s">
        <v>475</v>
      </c>
      <c r="P1" s="411"/>
      <c r="Q1" s="411"/>
      <c r="S1" s="228"/>
      <c r="T1" s="229"/>
    </row>
    <row r="2" spans="1:20" s="227" customFormat="1" ht="25.8" customHeigh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/>
      <c r="N2" s="226"/>
      <c r="O2" s="411" t="s">
        <v>668</v>
      </c>
      <c r="P2" s="411"/>
      <c r="Q2" s="411"/>
      <c r="S2" s="228"/>
      <c r="T2" s="229"/>
    </row>
    <row r="3" spans="1:20" s="227" customFormat="1" ht="14.4" customHeight="1" x14ac:dyDescent="0.3">
      <c r="A3" s="230" t="s">
        <v>25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25"/>
      <c r="S3" s="228"/>
      <c r="T3" s="229"/>
    </row>
    <row r="4" spans="1:20" s="227" customFormat="1" ht="14.4" customHeight="1" x14ac:dyDescent="0.3">
      <c r="A4" s="231"/>
      <c r="B4" s="231"/>
      <c r="C4" s="232" t="s">
        <v>660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 t="s">
        <v>3</v>
      </c>
      <c r="Q4" s="225"/>
      <c r="S4" s="228"/>
      <c r="T4" s="229"/>
    </row>
    <row r="5" spans="1:20" s="237" customFormat="1" ht="10.199999999999999" x14ac:dyDescent="0.2">
      <c r="A5" s="174" t="s">
        <v>0</v>
      </c>
      <c r="B5" s="174" t="s">
        <v>7</v>
      </c>
      <c r="C5" s="174"/>
      <c r="D5" s="174" t="s">
        <v>4</v>
      </c>
      <c r="E5" s="174" t="s">
        <v>1</v>
      </c>
      <c r="F5" s="174" t="s">
        <v>5</v>
      </c>
      <c r="G5" s="174" t="s">
        <v>17</v>
      </c>
      <c r="H5" s="174" t="s">
        <v>24</v>
      </c>
      <c r="I5" s="174" t="s">
        <v>6</v>
      </c>
      <c r="J5" s="174" t="s">
        <v>2</v>
      </c>
      <c r="K5" s="174" t="s">
        <v>16</v>
      </c>
      <c r="L5" s="174"/>
      <c r="M5" s="160" t="s">
        <v>20</v>
      </c>
      <c r="N5" s="161"/>
      <c r="O5" s="161"/>
      <c r="P5" s="162"/>
      <c r="Q5" s="174" t="s">
        <v>23</v>
      </c>
      <c r="R5" s="234"/>
      <c r="S5" s="235"/>
      <c r="T5" s="236"/>
    </row>
    <row r="6" spans="1:20" s="237" customFormat="1" ht="51" x14ac:dyDescent="0.2">
      <c r="A6" s="174"/>
      <c r="B6" s="52" t="s">
        <v>8</v>
      </c>
      <c r="C6" s="52" t="s">
        <v>9</v>
      </c>
      <c r="D6" s="174"/>
      <c r="E6" s="174"/>
      <c r="F6" s="174"/>
      <c r="G6" s="174"/>
      <c r="H6" s="174"/>
      <c r="I6" s="174"/>
      <c r="J6" s="174"/>
      <c r="K6" s="2" t="s">
        <v>19</v>
      </c>
      <c r="L6" s="2" t="s">
        <v>21</v>
      </c>
      <c r="M6" s="2" t="s">
        <v>15</v>
      </c>
      <c r="N6" s="2" t="s">
        <v>19</v>
      </c>
      <c r="O6" s="52" t="s">
        <v>21</v>
      </c>
      <c r="P6" s="32" t="s">
        <v>18</v>
      </c>
      <c r="Q6" s="174"/>
      <c r="R6" s="234"/>
      <c r="S6" s="235"/>
      <c r="T6" s="236"/>
    </row>
    <row r="7" spans="1:20" s="237" customFormat="1" ht="10.199999999999999" x14ac:dyDescent="0.2">
      <c r="A7" s="238">
        <v>1</v>
      </c>
      <c r="B7" s="238">
        <v>2</v>
      </c>
      <c r="C7" s="238">
        <v>3</v>
      </c>
      <c r="D7" s="238">
        <v>4</v>
      </c>
      <c r="E7" s="238">
        <v>5</v>
      </c>
      <c r="F7" s="238">
        <v>6</v>
      </c>
      <c r="G7" s="238">
        <v>7</v>
      </c>
      <c r="H7" s="238">
        <v>8</v>
      </c>
      <c r="I7" s="238">
        <v>9</v>
      </c>
      <c r="J7" s="238">
        <v>10</v>
      </c>
      <c r="K7" s="238">
        <v>11</v>
      </c>
      <c r="L7" s="238">
        <v>12</v>
      </c>
      <c r="M7" s="238">
        <v>13</v>
      </c>
      <c r="N7" s="238">
        <v>14</v>
      </c>
      <c r="O7" s="238">
        <v>15</v>
      </c>
      <c r="P7" s="238">
        <v>16</v>
      </c>
      <c r="Q7" s="238">
        <v>17</v>
      </c>
      <c r="R7" s="234"/>
      <c r="S7" s="235"/>
      <c r="T7" s="236"/>
    </row>
    <row r="8" spans="1:20" s="244" customFormat="1" ht="15.6" x14ac:dyDescent="0.3">
      <c r="A8" s="239" t="s">
        <v>298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240"/>
      <c r="O8" s="240"/>
      <c r="P8" s="239"/>
      <c r="Q8" s="241"/>
      <c r="R8" s="242"/>
      <c r="S8" s="228"/>
      <c r="T8" s="243"/>
    </row>
    <row r="9" spans="1:20" s="248" customFormat="1" ht="30.6" x14ac:dyDescent="0.3">
      <c r="A9" s="58">
        <v>1</v>
      </c>
      <c r="B9" s="95">
        <v>45089</v>
      </c>
      <c r="C9" s="95">
        <v>46091</v>
      </c>
      <c r="D9" s="110" t="s">
        <v>650</v>
      </c>
      <c r="E9" s="58" t="s">
        <v>300</v>
      </c>
      <c r="F9" s="58" t="s">
        <v>299</v>
      </c>
      <c r="G9" s="58" t="s">
        <v>459</v>
      </c>
      <c r="H9" s="35" t="s">
        <v>318</v>
      </c>
      <c r="I9" s="58" t="s">
        <v>49</v>
      </c>
      <c r="J9" s="35">
        <v>43.2</v>
      </c>
      <c r="K9" s="34">
        <f>S9*6</f>
        <v>10824.192000000001</v>
      </c>
      <c r="L9" s="34">
        <f>S9*3</f>
        <v>5412.0960000000005</v>
      </c>
      <c r="M9" s="49" t="s">
        <v>10</v>
      </c>
      <c r="N9" s="79" t="s">
        <v>457</v>
      </c>
      <c r="O9" s="245"/>
      <c r="P9" s="82" t="s">
        <v>458</v>
      </c>
      <c r="Q9" s="246"/>
      <c r="R9" s="247"/>
      <c r="S9" s="55">
        <f>14.5*J9*1*(1+0.5+0.9)*1.2</f>
        <v>1804.0320000000002</v>
      </c>
      <c r="T9" s="228"/>
    </row>
    <row r="10" spans="1:20" s="248" customFormat="1" ht="30.6" x14ac:dyDescent="0.3">
      <c r="A10" s="71"/>
      <c r="B10" s="71"/>
      <c r="C10" s="71"/>
      <c r="D10" s="129"/>
      <c r="E10" s="71"/>
      <c r="F10" s="71"/>
      <c r="G10" s="71"/>
      <c r="H10" s="35" t="s">
        <v>317</v>
      </c>
      <c r="I10" s="92"/>
      <c r="J10" s="35">
        <v>137.19999999999999</v>
      </c>
      <c r="K10" s="34">
        <f>S10*6</f>
        <v>44403.407999999996</v>
      </c>
      <c r="L10" s="34">
        <f>S10*3</f>
        <v>22201.703999999998</v>
      </c>
      <c r="M10" s="49" t="s">
        <v>11</v>
      </c>
      <c r="N10" s="249"/>
      <c r="O10" s="250"/>
      <c r="P10" s="71"/>
      <c r="Q10" s="251"/>
      <c r="R10" s="247"/>
      <c r="S10" s="55">
        <f>14.5*J10*1*(1+1.2+0.9)*1.2</f>
        <v>7400.5679999999993</v>
      </c>
      <c r="T10" s="228"/>
    </row>
    <row r="11" spans="1:20" s="248" customFormat="1" ht="30.6" x14ac:dyDescent="0.3">
      <c r="A11" s="143"/>
      <c r="B11" s="143"/>
      <c r="C11" s="143"/>
      <c r="D11" s="143"/>
      <c r="E11" s="143"/>
      <c r="F11" s="143"/>
      <c r="G11" s="143"/>
      <c r="H11" s="35" t="s">
        <v>316</v>
      </c>
      <c r="I11" s="92"/>
      <c r="J11" s="35">
        <v>68.5</v>
      </c>
      <c r="K11" s="34">
        <f>S11*6</f>
        <v>26603.207999999999</v>
      </c>
      <c r="L11" s="34">
        <f>S11*3</f>
        <v>13301.603999999999</v>
      </c>
      <c r="M11" s="49" t="s">
        <v>12</v>
      </c>
      <c r="N11" s="249"/>
      <c r="O11" s="250"/>
      <c r="P11" s="143"/>
      <c r="Q11" s="251"/>
      <c r="R11" s="247"/>
      <c r="S11" s="55">
        <f>14.5*J11*1.2*(1+1.2+0.9)*1.2</f>
        <v>4433.8679999999995</v>
      </c>
      <c r="T11" s="228"/>
    </row>
    <row r="12" spans="1:20" s="248" customFormat="1" ht="30.6" x14ac:dyDescent="0.3">
      <c r="A12" s="143"/>
      <c r="B12" s="143"/>
      <c r="C12" s="143"/>
      <c r="D12" s="143"/>
      <c r="E12" s="143"/>
      <c r="F12" s="143"/>
      <c r="G12" s="143"/>
      <c r="H12" s="35" t="s">
        <v>315</v>
      </c>
      <c r="I12" s="92"/>
      <c r="J12" s="35">
        <v>111.8</v>
      </c>
      <c r="K12" s="34">
        <f>S12*6</f>
        <v>27137.214</v>
      </c>
      <c r="L12" s="34">
        <f>S12*3</f>
        <v>13568.607</v>
      </c>
      <c r="M12" s="49" t="s">
        <v>13</v>
      </c>
      <c r="N12" s="249"/>
      <c r="O12" s="250"/>
      <c r="P12" s="143"/>
      <c r="Q12" s="251"/>
      <c r="R12" s="247"/>
      <c r="S12" s="55">
        <f>14.5*J12*1*(1+1.2+0.9)*0.9</f>
        <v>4522.8689999999997</v>
      </c>
      <c r="T12" s="228"/>
    </row>
    <row r="13" spans="1:20" s="248" customFormat="1" ht="30.6" x14ac:dyDescent="0.3">
      <c r="A13" s="143"/>
      <c r="B13" s="143"/>
      <c r="C13" s="143"/>
      <c r="D13" s="143"/>
      <c r="E13" s="143"/>
      <c r="F13" s="143"/>
      <c r="G13" s="143"/>
      <c r="H13" s="35" t="s">
        <v>314</v>
      </c>
      <c r="I13" s="92"/>
      <c r="J13" s="35">
        <v>58.5</v>
      </c>
      <c r="K13" s="34">
        <f>S13*6</f>
        <v>13436.28</v>
      </c>
      <c r="L13" s="34">
        <f>S13*3</f>
        <v>6718.14</v>
      </c>
      <c r="M13" s="49" t="s">
        <v>14</v>
      </c>
      <c r="N13" s="249"/>
      <c r="O13" s="250"/>
      <c r="P13" s="143"/>
      <c r="Q13" s="251"/>
      <c r="R13" s="247"/>
      <c r="S13" s="55">
        <f>14.5*J13*1.1*(1+0.1+0.9)*1.2</f>
        <v>2239.38</v>
      </c>
      <c r="T13" s="228"/>
    </row>
    <row r="14" spans="1:20" s="248" customFormat="1" ht="30.6" x14ac:dyDescent="0.3">
      <c r="A14" s="163"/>
      <c r="B14" s="163"/>
      <c r="C14" s="163"/>
      <c r="D14" s="163"/>
      <c r="E14" s="163"/>
      <c r="F14" s="163"/>
      <c r="G14" s="163"/>
      <c r="H14" s="36" t="s">
        <v>313</v>
      </c>
      <c r="I14" s="78"/>
      <c r="J14" s="36">
        <v>85.6</v>
      </c>
      <c r="K14" s="34">
        <f>S14*6</f>
        <v>30473.9424</v>
      </c>
      <c r="L14" s="33">
        <f>S14*3</f>
        <v>15236.9712</v>
      </c>
      <c r="M14" s="252" t="s">
        <v>533</v>
      </c>
      <c r="N14" s="253">
        <v>1176.68</v>
      </c>
      <c r="O14" s="253">
        <v>1176.68</v>
      </c>
      <c r="P14" s="163"/>
      <c r="Q14" s="254"/>
      <c r="R14" s="247"/>
      <c r="S14" s="55">
        <f>14.5*J14*1.1*(1+1.2+0.9)*1.2</f>
        <v>5078.9903999999997</v>
      </c>
      <c r="T14" s="228"/>
    </row>
    <row r="15" spans="1:20" s="244" customFormat="1" x14ac:dyDescent="0.3">
      <c r="A15" s="101">
        <f>A9+1</f>
        <v>2</v>
      </c>
      <c r="B15" s="105">
        <v>44914</v>
      </c>
      <c r="C15" s="105">
        <v>45248</v>
      </c>
      <c r="D15" s="57" t="s">
        <v>573</v>
      </c>
      <c r="E15" s="101" t="s">
        <v>300</v>
      </c>
      <c r="F15" s="101" t="s">
        <v>299</v>
      </c>
      <c r="G15" s="101" t="s">
        <v>459</v>
      </c>
      <c r="H15" s="101" t="s">
        <v>574</v>
      </c>
      <c r="I15" s="101" t="s">
        <v>575</v>
      </c>
      <c r="J15" s="101">
        <v>54.3</v>
      </c>
      <c r="K15" s="112">
        <f>S15*6</f>
        <v>5612.2307999999994</v>
      </c>
      <c r="L15" s="112">
        <f>S15*3</f>
        <v>2806.1153999999997</v>
      </c>
      <c r="M15" s="17" t="s">
        <v>10</v>
      </c>
      <c r="N15" s="108" t="s">
        <v>457</v>
      </c>
      <c r="O15" s="255"/>
      <c r="P15" s="109" t="s">
        <v>458</v>
      </c>
      <c r="Q15" s="256"/>
      <c r="R15" s="242"/>
      <c r="S15" s="257">
        <f>14.5*J15*1.1*(1+0.1+0.7)*0.6</f>
        <v>935.37179999999989</v>
      </c>
      <c r="T15" s="243"/>
    </row>
    <row r="16" spans="1:20" s="244" customFormat="1" ht="20.399999999999999" x14ac:dyDescent="0.3">
      <c r="A16" s="102"/>
      <c r="B16" s="102"/>
      <c r="C16" s="102"/>
      <c r="D16" s="194"/>
      <c r="E16" s="102"/>
      <c r="F16" s="102"/>
      <c r="G16" s="102"/>
      <c r="H16" s="106"/>
      <c r="I16" s="106"/>
      <c r="J16" s="106"/>
      <c r="K16" s="106"/>
      <c r="L16" s="106"/>
      <c r="M16" s="17" t="s">
        <v>11</v>
      </c>
      <c r="N16" s="258"/>
      <c r="O16" s="259"/>
      <c r="P16" s="102"/>
      <c r="Q16" s="260"/>
      <c r="R16" s="242"/>
      <c r="S16" s="257"/>
      <c r="T16" s="243"/>
    </row>
    <row r="17" spans="1:20" s="244" customFormat="1" x14ac:dyDescent="0.3">
      <c r="A17" s="103"/>
      <c r="B17" s="103"/>
      <c r="C17" s="103"/>
      <c r="D17" s="103"/>
      <c r="E17" s="103"/>
      <c r="F17" s="103"/>
      <c r="G17" s="103"/>
      <c r="H17" s="106"/>
      <c r="I17" s="106"/>
      <c r="J17" s="106"/>
      <c r="K17" s="106"/>
      <c r="L17" s="106"/>
      <c r="M17" s="17" t="s">
        <v>12</v>
      </c>
      <c r="N17" s="258"/>
      <c r="O17" s="259"/>
      <c r="P17" s="103"/>
      <c r="Q17" s="260"/>
      <c r="R17" s="242"/>
      <c r="S17" s="257"/>
      <c r="T17" s="243"/>
    </row>
    <row r="18" spans="1:20" s="244" customFormat="1" x14ac:dyDescent="0.3">
      <c r="A18" s="103"/>
      <c r="B18" s="103"/>
      <c r="C18" s="103"/>
      <c r="D18" s="103"/>
      <c r="E18" s="103"/>
      <c r="F18" s="103"/>
      <c r="G18" s="103"/>
      <c r="H18" s="106"/>
      <c r="I18" s="106"/>
      <c r="J18" s="106"/>
      <c r="K18" s="106"/>
      <c r="L18" s="106"/>
      <c r="M18" s="17" t="s">
        <v>13</v>
      </c>
      <c r="N18" s="258"/>
      <c r="O18" s="259"/>
      <c r="P18" s="103"/>
      <c r="Q18" s="260"/>
      <c r="R18" s="242"/>
      <c r="S18" s="257"/>
      <c r="T18" s="243"/>
    </row>
    <row r="19" spans="1:20" s="244" customFormat="1" x14ac:dyDescent="0.3">
      <c r="A19" s="103"/>
      <c r="B19" s="103"/>
      <c r="C19" s="103"/>
      <c r="D19" s="103"/>
      <c r="E19" s="103"/>
      <c r="F19" s="103"/>
      <c r="G19" s="103"/>
      <c r="H19" s="106"/>
      <c r="I19" s="106"/>
      <c r="J19" s="106"/>
      <c r="K19" s="106"/>
      <c r="L19" s="106"/>
      <c r="M19" s="17" t="s">
        <v>14</v>
      </c>
      <c r="N19" s="258"/>
      <c r="O19" s="259"/>
      <c r="P19" s="103"/>
      <c r="Q19" s="260"/>
      <c r="R19" s="242"/>
      <c r="S19" s="257"/>
      <c r="T19" s="243"/>
    </row>
    <row r="20" spans="1:20" s="244" customFormat="1" x14ac:dyDescent="0.3">
      <c r="A20" s="104"/>
      <c r="B20" s="104"/>
      <c r="C20" s="104"/>
      <c r="D20" s="104"/>
      <c r="E20" s="104"/>
      <c r="F20" s="104"/>
      <c r="G20" s="104"/>
      <c r="H20" s="107"/>
      <c r="I20" s="107"/>
      <c r="J20" s="107"/>
      <c r="K20" s="107"/>
      <c r="L20" s="107"/>
      <c r="M20" s="261" t="s">
        <v>533</v>
      </c>
      <c r="N20" s="262">
        <v>104.3</v>
      </c>
      <c r="O20" s="262">
        <v>104.3</v>
      </c>
      <c r="P20" s="104"/>
      <c r="Q20" s="263"/>
      <c r="R20" s="242"/>
      <c r="S20" s="257"/>
      <c r="T20" s="243"/>
    </row>
    <row r="21" spans="1:20" s="264" customFormat="1" ht="10.199999999999999" x14ac:dyDescent="0.2">
      <c r="A21" s="58">
        <f>A15+1</f>
        <v>3</v>
      </c>
      <c r="B21" s="134">
        <v>44900</v>
      </c>
      <c r="C21" s="134">
        <v>46725</v>
      </c>
      <c r="D21" s="134" t="s">
        <v>661</v>
      </c>
      <c r="E21" s="89" t="s">
        <v>300</v>
      </c>
      <c r="F21" s="89" t="s">
        <v>299</v>
      </c>
      <c r="G21" s="89" t="s">
        <v>302</v>
      </c>
      <c r="H21" s="89" t="s">
        <v>312</v>
      </c>
      <c r="I21" s="89" t="s">
        <v>66</v>
      </c>
      <c r="J21" s="89">
        <v>121.1</v>
      </c>
      <c r="K21" s="111">
        <f>S21*6</f>
        <v>30342.815999999999</v>
      </c>
      <c r="L21" s="111">
        <f>S21*3</f>
        <v>15171.407999999999</v>
      </c>
      <c r="M21" s="49" t="s">
        <v>10</v>
      </c>
      <c r="N21" s="79" t="s">
        <v>457</v>
      </c>
      <c r="O21" s="60"/>
      <c r="P21" s="89" t="s">
        <v>302</v>
      </c>
      <c r="Q21" s="89" t="s">
        <v>301</v>
      </c>
      <c r="R21" s="223"/>
      <c r="S21" s="94">
        <f>14.5*J21*1*(1+0.5+0.9)*1.2</f>
        <v>5057.1359999999995</v>
      </c>
      <c r="T21" s="235"/>
    </row>
    <row r="22" spans="1:20" s="264" customFormat="1" ht="20.399999999999999" x14ac:dyDescent="0.2">
      <c r="A22" s="71"/>
      <c r="B22" s="89"/>
      <c r="C22" s="89"/>
      <c r="D22" s="89"/>
      <c r="E22" s="89"/>
      <c r="F22" s="89"/>
      <c r="G22" s="89"/>
      <c r="H22" s="89"/>
      <c r="I22" s="89"/>
      <c r="J22" s="89"/>
      <c r="K22" s="111"/>
      <c r="L22" s="111"/>
      <c r="M22" s="49" t="s">
        <v>11</v>
      </c>
      <c r="N22" s="61"/>
      <c r="O22" s="62"/>
      <c r="P22" s="89"/>
      <c r="Q22" s="89"/>
      <c r="R22" s="223"/>
      <c r="S22" s="94"/>
      <c r="T22" s="235"/>
    </row>
    <row r="23" spans="1:20" s="264" customFormat="1" ht="10.199999999999999" x14ac:dyDescent="0.2">
      <c r="A23" s="143"/>
      <c r="B23" s="89"/>
      <c r="C23" s="89"/>
      <c r="D23" s="89"/>
      <c r="E23" s="89"/>
      <c r="F23" s="89"/>
      <c r="G23" s="89"/>
      <c r="H23" s="89"/>
      <c r="I23" s="89"/>
      <c r="J23" s="89"/>
      <c r="K23" s="111"/>
      <c r="L23" s="111"/>
      <c r="M23" s="49" t="s">
        <v>12</v>
      </c>
      <c r="N23" s="61"/>
      <c r="O23" s="62"/>
      <c r="P23" s="89"/>
      <c r="Q23" s="89"/>
      <c r="R23" s="223"/>
      <c r="S23" s="94"/>
      <c r="T23" s="235"/>
    </row>
    <row r="24" spans="1:20" s="264" customFormat="1" ht="10.199999999999999" x14ac:dyDescent="0.2">
      <c r="A24" s="143"/>
      <c r="B24" s="89"/>
      <c r="C24" s="89"/>
      <c r="D24" s="89"/>
      <c r="E24" s="89"/>
      <c r="F24" s="89"/>
      <c r="G24" s="89"/>
      <c r="H24" s="89"/>
      <c r="I24" s="89"/>
      <c r="J24" s="89"/>
      <c r="K24" s="111"/>
      <c r="L24" s="111"/>
      <c r="M24" s="49" t="s">
        <v>13</v>
      </c>
      <c r="N24" s="61"/>
      <c r="O24" s="62"/>
      <c r="P24" s="89"/>
      <c r="Q24" s="89"/>
      <c r="R24" s="223"/>
      <c r="S24" s="94"/>
      <c r="T24" s="235"/>
    </row>
    <row r="25" spans="1:20" s="264" customFormat="1" ht="10.199999999999999" x14ac:dyDescent="0.2">
      <c r="A25" s="143"/>
      <c r="B25" s="89"/>
      <c r="C25" s="89"/>
      <c r="D25" s="89"/>
      <c r="E25" s="89"/>
      <c r="F25" s="89"/>
      <c r="G25" s="89"/>
      <c r="H25" s="89"/>
      <c r="I25" s="89"/>
      <c r="J25" s="89"/>
      <c r="K25" s="111"/>
      <c r="L25" s="111"/>
      <c r="M25" s="49" t="s">
        <v>14</v>
      </c>
      <c r="N25" s="61"/>
      <c r="O25" s="62"/>
      <c r="P25" s="89"/>
      <c r="Q25" s="89"/>
      <c r="R25" s="223"/>
      <c r="S25" s="94"/>
      <c r="T25" s="235"/>
    </row>
    <row r="26" spans="1:20" s="264" customFormat="1" ht="10.199999999999999" x14ac:dyDescent="0.2">
      <c r="A26" s="163"/>
      <c r="B26" s="89"/>
      <c r="C26" s="89"/>
      <c r="D26" s="89"/>
      <c r="E26" s="89"/>
      <c r="F26" s="89"/>
      <c r="G26" s="89"/>
      <c r="H26" s="89"/>
      <c r="I26" s="89"/>
      <c r="J26" s="89"/>
      <c r="K26" s="111"/>
      <c r="L26" s="111"/>
      <c r="M26" s="49" t="s">
        <v>533</v>
      </c>
      <c r="N26" s="25">
        <v>232.5</v>
      </c>
      <c r="O26" s="25">
        <v>232.5</v>
      </c>
      <c r="P26" s="89"/>
      <c r="Q26" s="89"/>
      <c r="R26" s="223"/>
      <c r="S26" s="94"/>
      <c r="T26" s="235"/>
    </row>
    <row r="27" spans="1:20" s="264" customFormat="1" ht="10.199999999999999" x14ac:dyDescent="0.2">
      <c r="A27" s="89">
        <f>A21+1</f>
        <v>4</v>
      </c>
      <c r="B27" s="134">
        <v>43698</v>
      </c>
      <c r="C27" s="134">
        <v>45525</v>
      </c>
      <c r="D27" s="89" t="s">
        <v>73</v>
      </c>
      <c r="E27" s="89" t="s">
        <v>300</v>
      </c>
      <c r="F27" s="89" t="s">
        <v>299</v>
      </c>
      <c r="G27" s="89" t="s">
        <v>74</v>
      </c>
      <c r="H27" s="89" t="s">
        <v>311</v>
      </c>
      <c r="I27" s="89" t="s">
        <v>75</v>
      </c>
      <c r="J27" s="89">
        <v>203.4</v>
      </c>
      <c r="K27" s="111">
        <f>S27*6</f>
        <v>84090.44160000002</v>
      </c>
      <c r="L27" s="111">
        <f>S27*3</f>
        <v>42045.22080000001</v>
      </c>
      <c r="M27" s="11" t="s">
        <v>10</v>
      </c>
      <c r="N27" s="79" t="s">
        <v>457</v>
      </c>
      <c r="O27" s="60"/>
      <c r="P27" s="157" t="s">
        <v>74</v>
      </c>
      <c r="Q27" s="58"/>
      <c r="R27" s="265"/>
      <c r="S27" s="94">
        <f>14.5*J27*1.2*(1+1.2+1.1)*1.2</f>
        <v>14015.073600000003</v>
      </c>
      <c r="T27" s="235"/>
    </row>
    <row r="28" spans="1:20" s="264" customFormat="1" ht="20.399999999999999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111"/>
      <c r="L28" s="111"/>
      <c r="M28" s="49" t="s">
        <v>11</v>
      </c>
      <c r="N28" s="61"/>
      <c r="O28" s="62"/>
      <c r="P28" s="89"/>
      <c r="Q28" s="71"/>
      <c r="R28" s="265"/>
      <c r="S28" s="94"/>
      <c r="T28" s="235"/>
    </row>
    <row r="29" spans="1:20" s="264" customFormat="1" ht="10.199999999999999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111"/>
      <c r="L29" s="111"/>
      <c r="M29" s="49" t="s">
        <v>12</v>
      </c>
      <c r="N29" s="61"/>
      <c r="O29" s="62"/>
      <c r="P29" s="89"/>
      <c r="Q29" s="71"/>
      <c r="R29" s="265"/>
      <c r="S29" s="94"/>
      <c r="T29" s="235"/>
    </row>
    <row r="30" spans="1:20" s="264" customFormat="1" ht="10.199999999999999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111"/>
      <c r="L30" s="111"/>
      <c r="M30" s="49" t="s">
        <v>13</v>
      </c>
      <c r="N30" s="61"/>
      <c r="O30" s="62"/>
      <c r="P30" s="89"/>
      <c r="Q30" s="71"/>
      <c r="R30" s="265"/>
      <c r="S30" s="94"/>
      <c r="T30" s="235"/>
    </row>
    <row r="31" spans="1:20" s="264" customFormat="1" ht="10.199999999999999" x14ac:dyDescent="0.2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111"/>
      <c r="L31" s="111"/>
      <c r="M31" s="49" t="s">
        <v>14</v>
      </c>
      <c r="N31" s="61"/>
      <c r="O31" s="62"/>
      <c r="P31" s="89"/>
      <c r="Q31" s="71"/>
      <c r="R31" s="265"/>
      <c r="S31" s="94"/>
      <c r="T31" s="235"/>
    </row>
    <row r="32" spans="1:20" s="264" customFormat="1" ht="10.199999999999999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111"/>
      <c r="L32" s="111"/>
      <c r="M32" s="252" t="s">
        <v>533</v>
      </c>
      <c r="N32" s="25">
        <v>781.1</v>
      </c>
      <c r="O32" s="25">
        <v>390.5</v>
      </c>
      <c r="P32" s="89"/>
      <c r="Q32" s="87"/>
      <c r="R32" s="265"/>
      <c r="S32" s="94"/>
      <c r="T32" s="235"/>
    </row>
    <row r="33" spans="1:20" s="269" customFormat="1" ht="10.199999999999999" x14ac:dyDescent="0.2">
      <c r="A33" s="148">
        <f>A27+1</f>
        <v>5</v>
      </c>
      <c r="B33" s="153">
        <v>44925</v>
      </c>
      <c r="C33" s="153">
        <v>46670</v>
      </c>
      <c r="D33" s="155" t="s">
        <v>555</v>
      </c>
      <c r="E33" s="148" t="s">
        <v>300</v>
      </c>
      <c r="F33" s="148" t="s">
        <v>299</v>
      </c>
      <c r="G33" s="155" t="s">
        <v>456</v>
      </c>
      <c r="H33" s="155" t="s">
        <v>554</v>
      </c>
      <c r="I33" s="155" t="s">
        <v>83</v>
      </c>
      <c r="J33" s="158">
        <v>17.2</v>
      </c>
      <c r="K33" s="266">
        <f>S33*6</f>
        <v>2585.7791999999999</v>
      </c>
      <c r="L33" s="266">
        <f>S33*3</f>
        <v>1292.8896</v>
      </c>
      <c r="M33" s="17" t="s">
        <v>10</v>
      </c>
      <c r="N33" s="108" t="s">
        <v>457</v>
      </c>
      <c r="O33" s="73"/>
      <c r="P33" s="155" t="s">
        <v>456</v>
      </c>
      <c r="Q33" s="149"/>
      <c r="R33" s="267"/>
      <c r="S33" s="257">
        <f>14.5*J33*1.2*(1+1.2+0.2)*0.6</f>
        <v>430.96320000000003</v>
      </c>
      <c r="T33" s="268"/>
    </row>
    <row r="34" spans="1:20" s="269" customFormat="1" ht="20.399999999999999" x14ac:dyDescent="0.2">
      <c r="A34" s="148"/>
      <c r="B34" s="154"/>
      <c r="C34" s="154"/>
      <c r="D34" s="114"/>
      <c r="E34" s="148"/>
      <c r="F34" s="148"/>
      <c r="G34" s="114"/>
      <c r="H34" s="114"/>
      <c r="I34" s="114"/>
      <c r="J34" s="114"/>
      <c r="K34" s="270"/>
      <c r="L34" s="270"/>
      <c r="M34" s="17" t="s">
        <v>11</v>
      </c>
      <c r="N34" s="74"/>
      <c r="O34" s="75"/>
      <c r="P34" s="114"/>
      <c r="Q34" s="106"/>
      <c r="R34" s="267"/>
      <c r="S34" s="257"/>
      <c r="T34" s="268"/>
    </row>
    <row r="35" spans="1:20" s="269" customFormat="1" ht="10.199999999999999" x14ac:dyDescent="0.2">
      <c r="A35" s="148"/>
      <c r="B35" s="154"/>
      <c r="C35" s="154"/>
      <c r="D35" s="114"/>
      <c r="E35" s="148"/>
      <c r="F35" s="148"/>
      <c r="G35" s="114"/>
      <c r="H35" s="114"/>
      <c r="I35" s="114"/>
      <c r="J35" s="114"/>
      <c r="K35" s="270"/>
      <c r="L35" s="270"/>
      <c r="M35" s="17" t="s">
        <v>12</v>
      </c>
      <c r="N35" s="74"/>
      <c r="O35" s="75"/>
      <c r="P35" s="114"/>
      <c r="Q35" s="106"/>
      <c r="R35" s="267"/>
      <c r="S35" s="257"/>
      <c r="T35" s="268"/>
    </row>
    <row r="36" spans="1:20" s="269" customFormat="1" ht="10.199999999999999" x14ac:dyDescent="0.2">
      <c r="A36" s="148"/>
      <c r="B36" s="154"/>
      <c r="C36" s="154"/>
      <c r="D36" s="114"/>
      <c r="E36" s="148"/>
      <c r="F36" s="148"/>
      <c r="G36" s="114"/>
      <c r="H36" s="114"/>
      <c r="I36" s="114"/>
      <c r="J36" s="114"/>
      <c r="K36" s="270"/>
      <c r="L36" s="270"/>
      <c r="M36" s="17" t="s">
        <v>13</v>
      </c>
      <c r="N36" s="74"/>
      <c r="O36" s="75"/>
      <c r="P36" s="114"/>
      <c r="Q36" s="106"/>
      <c r="R36" s="267"/>
      <c r="S36" s="257"/>
      <c r="T36" s="268"/>
    </row>
    <row r="37" spans="1:20" s="269" customFormat="1" ht="10.199999999999999" x14ac:dyDescent="0.2">
      <c r="A37" s="148"/>
      <c r="B37" s="154"/>
      <c r="C37" s="154"/>
      <c r="D37" s="114"/>
      <c r="E37" s="148"/>
      <c r="F37" s="148"/>
      <c r="G37" s="114"/>
      <c r="H37" s="114"/>
      <c r="I37" s="114"/>
      <c r="J37" s="114"/>
      <c r="K37" s="270"/>
      <c r="L37" s="270"/>
      <c r="M37" s="21" t="s">
        <v>14</v>
      </c>
      <c r="N37" s="74"/>
      <c r="O37" s="75"/>
      <c r="P37" s="114"/>
      <c r="Q37" s="106"/>
      <c r="R37" s="267"/>
      <c r="S37" s="257"/>
      <c r="T37" s="268"/>
    </row>
    <row r="38" spans="1:20" s="269" customFormat="1" ht="10.199999999999999" x14ac:dyDescent="0.2">
      <c r="A38" s="148"/>
      <c r="B38" s="154"/>
      <c r="C38" s="154"/>
      <c r="D38" s="114"/>
      <c r="E38" s="148"/>
      <c r="F38" s="148"/>
      <c r="G38" s="114"/>
      <c r="H38" s="114"/>
      <c r="I38" s="114"/>
      <c r="J38" s="114"/>
      <c r="K38" s="270"/>
      <c r="L38" s="270"/>
      <c r="M38" s="17" t="s">
        <v>533</v>
      </c>
      <c r="N38" s="20">
        <v>1112.4000000000001</v>
      </c>
      <c r="O38" s="22">
        <v>51.85</v>
      </c>
      <c r="P38" s="114"/>
      <c r="Q38" s="107"/>
      <c r="R38" s="267"/>
      <c r="S38" s="257"/>
      <c r="T38" s="268"/>
    </row>
    <row r="39" spans="1:20" s="264" customFormat="1" ht="10.199999999999999" x14ac:dyDescent="0.2">
      <c r="A39" s="89">
        <f>A33+1</f>
        <v>6</v>
      </c>
      <c r="B39" s="134">
        <v>44927</v>
      </c>
      <c r="C39" s="134">
        <v>46022</v>
      </c>
      <c r="D39" s="89" t="s">
        <v>635</v>
      </c>
      <c r="E39" s="89" t="s">
        <v>300</v>
      </c>
      <c r="F39" s="89" t="s">
        <v>299</v>
      </c>
      <c r="G39" s="157" t="s">
        <v>74</v>
      </c>
      <c r="H39" s="89" t="s">
        <v>310</v>
      </c>
      <c r="I39" s="89" t="s">
        <v>98</v>
      </c>
      <c r="J39" s="89">
        <v>116.3</v>
      </c>
      <c r="K39" s="111">
        <f>S39*6</f>
        <v>37639.331999999995</v>
      </c>
      <c r="L39" s="111">
        <f>S39*3</f>
        <v>18819.665999999997</v>
      </c>
      <c r="M39" s="49" t="s">
        <v>10</v>
      </c>
      <c r="N39" s="79" t="s">
        <v>457</v>
      </c>
      <c r="O39" s="60"/>
      <c r="P39" s="157" t="s">
        <v>74</v>
      </c>
      <c r="Q39" s="124"/>
      <c r="R39" s="265"/>
      <c r="S39" s="94">
        <f>14.5*J39*1*(1+1.2+0.9)*1.2</f>
        <v>6273.2219999999988</v>
      </c>
      <c r="T39" s="235"/>
    </row>
    <row r="40" spans="1:20" s="264" customFormat="1" ht="20.399999999999999" x14ac:dyDescent="0.2">
      <c r="A40" s="89"/>
      <c r="B40" s="100"/>
      <c r="C40" s="100"/>
      <c r="D40" s="100"/>
      <c r="E40" s="89"/>
      <c r="F40" s="89"/>
      <c r="G40" s="100"/>
      <c r="H40" s="100"/>
      <c r="I40" s="176"/>
      <c r="J40" s="100"/>
      <c r="K40" s="271"/>
      <c r="L40" s="271"/>
      <c r="M40" s="49" t="s">
        <v>11</v>
      </c>
      <c r="N40" s="61"/>
      <c r="O40" s="62"/>
      <c r="P40" s="100"/>
      <c r="Q40" s="92"/>
      <c r="R40" s="265"/>
      <c r="S40" s="94"/>
      <c r="T40" s="235"/>
    </row>
    <row r="41" spans="1:20" s="264" customFormat="1" ht="10.199999999999999" x14ac:dyDescent="0.2">
      <c r="A41" s="89"/>
      <c r="B41" s="100"/>
      <c r="C41" s="100"/>
      <c r="D41" s="100"/>
      <c r="E41" s="89"/>
      <c r="F41" s="89"/>
      <c r="G41" s="100"/>
      <c r="H41" s="100"/>
      <c r="I41" s="176"/>
      <c r="J41" s="100"/>
      <c r="K41" s="271"/>
      <c r="L41" s="271"/>
      <c r="M41" s="49" t="s">
        <v>12</v>
      </c>
      <c r="N41" s="61"/>
      <c r="O41" s="62"/>
      <c r="P41" s="100"/>
      <c r="Q41" s="92"/>
      <c r="R41" s="265"/>
      <c r="S41" s="94"/>
      <c r="T41" s="235"/>
    </row>
    <row r="42" spans="1:20" s="264" customFormat="1" ht="10.199999999999999" x14ac:dyDescent="0.2">
      <c r="A42" s="89"/>
      <c r="B42" s="100"/>
      <c r="C42" s="100"/>
      <c r="D42" s="100"/>
      <c r="E42" s="89"/>
      <c r="F42" s="89"/>
      <c r="G42" s="100"/>
      <c r="H42" s="100"/>
      <c r="I42" s="176"/>
      <c r="J42" s="100"/>
      <c r="K42" s="271"/>
      <c r="L42" s="271"/>
      <c r="M42" s="49" t="s">
        <v>13</v>
      </c>
      <c r="N42" s="61"/>
      <c r="O42" s="62"/>
      <c r="P42" s="100"/>
      <c r="Q42" s="92"/>
      <c r="R42" s="265"/>
      <c r="S42" s="94"/>
      <c r="T42" s="235"/>
    </row>
    <row r="43" spans="1:20" s="264" customFormat="1" ht="10.199999999999999" x14ac:dyDescent="0.2">
      <c r="A43" s="89"/>
      <c r="B43" s="100"/>
      <c r="C43" s="100"/>
      <c r="D43" s="100"/>
      <c r="E43" s="89"/>
      <c r="F43" s="89"/>
      <c r="G43" s="100"/>
      <c r="H43" s="100"/>
      <c r="I43" s="176"/>
      <c r="J43" s="100"/>
      <c r="K43" s="271"/>
      <c r="L43" s="271"/>
      <c r="M43" s="49" t="s">
        <v>14</v>
      </c>
      <c r="N43" s="61"/>
      <c r="O43" s="62"/>
      <c r="P43" s="100"/>
      <c r="Q43" s="92"/>
      <c r="R43" s="265"/>
      <c r="S43" s="94"/>
      <c r="T43" s="235"/>
    </row>
    <row r="44" spans="1:20" s="264" customFormat="1" ht="10.199999999999999" x14ac:dyDescent="0.2">
      <c r="A44" s="89"/>
      <c r="B44" s="100"/>
      <c r="C44" s="100"/>
      <c r="D44" s="100"/>
      <c r="E44" s="89"/>
      <c r="F44" s="89"/>
      <c r="G44" s="100"/>
      <c r="H44" s="100"/>
      <c r="I44" s="176"/>
      <c r="J44" s="100"/>
      <c r="K44" s="271"/>
      <c r="L44" s="271"/>
      <c r="M44" s="252" t="s">
        <v>533</v>
      </c>
      <c r="N44" s="24">
        <v>452.4</v>
      </c>
      <c r="O44" s="50">
        <v>225.36</v>
      </c>
      <c r="P44" s="100"/>
      <c r="Q44" s="78"/>
      <c r="R44" s="265"/>
      <c r="S44" s="94"/>
      <c r="T44" s="235"/>
    </row>
    <row r="45" spans="1:20" s="264" customFormat="1" x14ac:dyDescent="0.2">
      <c r="A45" s="89">
        <f>A39+1</f>
        <v>7</v>
      </c>
      <c r="B45" s="88">
        <v>44271</v>
      </c>
      <c r="C45" s="88" t="s">
        <v>122</v>
      </c>
      <c r="D45" s="90" t="s">
        <v>123</v>
      </c>
      <c r="E45" s="89" t="s">
        <v>300</v>
      </c>
      <c r="F45" s="89" t="s">
        <v>299</v>
      </c>
      <c r="G45" s="90" t="s">
        <v>124</v>
      </c>
      <c r="H45" s="90" t="s">
        <v>500</v>
      </c>
      <c r="I45" s="90" t="s">
        <v>125</v>
      </c>
      <c r="J45" s="91">
        <v>11.6</v>
      </c>
      <c r="K45" s="111">
        <f>S45*6</f>
        <v>70.496113188479029</v>
      </c>
      <c r="L45" s="111">
        <f>S45*3</f>
        <v>35.248056594239515</v>
      </c>
      <c r="M45" s="49" t="s">
        <v>10</v>
      </c>
      <c r="N45" s="79" t="s">
        <v>463</v>
      </c>
      <c r="O45" s="272"/>
      <c r="P45" s="60"/>
      <c r="Q45" s="40"/>
      <c r="R45" s="265"/>
      <c r="S45" s="94">
        <f>14.5*J45*1*(1+0.5+0.9)*1.2*12/1979*4</f>
        <v>11.749352198079837</v>
      </c>
      <c r="T45" s="55"/>
    </row>
    <row r="46" spans="1:20" s="264" customFormat="1" ht="20.399999999999999" x14ac:dyDescent="0.2">
      <c r="A46" s="89"/>
      <c r="B46" s="152"/>
      <c r="C46" s="100"/>
      <c r="D46" s="100"/>
      <c r="E46" s="89"/>
      <c r="F46" s="89"/>
      <c r="G46" s="100"/>
      <c r="H46" s="100"/>
      <c r="I46" s="100"/>
      <c r="J46" s="91"/>
      <c r="K46" s="271"/>
      <c r="L46" s="271"/>
      <c r="M46" s="49" t="s">
        <v>11</v>
      </c>
      <c r="N46" s="61"/>
      <c r="O46" s="273"/>
      <c r="P46" s="62"/>
      <c r="Q46" s="40"/>
      <c r="R46" s="265"/>
      <c r="S46" s="94"/>
      <c r="T46" s="55"/>
    </row>
    <row r="47" spans="1:20" s="264" customFormat="1" x14ac:dyDescent="0.2">
      <c r="A47" s="89"/>
      <c r="B47" s="152"/>
      <c r="C47" s="100"/>
      <c r="D47" s="100"/>
      <c r="E47" s="89"/>
      <c r="F47" s="89"/>
      <c r="G47" s="100"/>
      <c r="H47" s="100"/>
      <c r="I47" s="100"/>
      <c r="J47" s="91"/>
      <c r="K47" s="271"/>
      <c r="L47" s="271"/>
      <c r="M47" s="49" t="s">
        <v>12</v>
      </c>
      <c r="N47" s="61"/>
      <c r="O47" s="273"/>
      <c r="P47" s="62"/>
      <c r="Q47" s="40"/>
      <c r="R47" s="265"/>
      <c r="S47" s="94"/>
      <c r="T47" s="55"/>
    </row>
    <row r="48" spans="1:20" s="264" customFormat="1" x14ac:dyDescent="0.2">
      <c r="A48" s="89"/>
      <c r="B48" s="152"/>
      <c r="C48" s="100"/>
      <c r="D48" s="100"/>
      <c r="E48" s="89"/>
      <c r="F48" s="89"/>
      <c r="G48" s="100"/>
      <c r="H48" s="100"/>
      <c r="I48" s="100"/>
      <c r="J48" s="91"/>
      <c r="K48" s="271"/>
      <c r="L48" s="271"/>
      <c r="M48" s="49" t="s">
        <v>13</v>
      </c>
      <c r="N48" s="61"/>
      <c r="O48" s="273"/>
      <c r="P48" s="62"/>
      <c r="Q48" s="40"/>
      <c r="R48" s="265"/>
      <c r="S48" s="94"/>
      <c r="T48" s="55"/>
    </row>
    <row r="49" spans="1:20" s="264" customFormat="1" x14ac:dyDescent="0.2">
      <c r="A49" s="89"/>
      <c r="B49" s="152"/>
      <c r="C49" s="100"/>
      <c r="D49" s="100"/>
      <c r="E49" s="89"/>
      <c r="F49" s="89"/>
      <c r="G49" s="100"/>
      <c r="H49" s="100"/>
      <c r="I49" s="100"/>
      <c r="J49" s="91"/>
      <c r="K49" s="271"/>
      <c r="L49" s="271"/>
      <c r="M49" s="49" t="s">
        <v>14</v>
      </c>
      <c r="N49" s="61"/>
      <c r="O49" s="273"/>
      <c r="P49" s="62"/>
      <c r="Q49" s="40"/>
      <c r="R49" s="265"/>
      <c r="S49" s="94"/>
      <c r="T49" s="55"/>
    </row>
    <row r="50" spans="1:20" s="264" customFormat="1" ht="21" customHeight="1" x14ac:dyDescent="0.2">
      <c r="A50" s="89"/>
      <c r="B50" s="152"/>
      <c r="C50" s="100"/>
      <c r="D50" s="100"/>
      <c r="E50" s="89"/>
      <c r="F50" s="89"/>
      <c r="G50" s="100"/>
      <c r="H50" s="100"/>
      <c r="I50" s="100"/>
      <c r="J50" s="91"/>
      <c r="K50" s="271"/>
      <c r="L50" s="271"/>
      <c r="M50" s="252" t="s">
        <v>533</v>
      </c>
      <c r="N50" s="80"/>
      <c r="O50" s="274"/>
      <c r="P50" s="81"/>
      <c r="Q50" s="40"/>
      <c r="R50" s="265"/>
      <c r="S50" s="94"/>
      <c r="T50" s="55"/>
    </row>
    <row r="51" spans="1:20" s="264" customFormat="1" ht="10.199999999999999" x14ac:dyDescent="0.2">
      <c r="A51" s="89">
        <f>A45+1</f>
        <v>8</v>
      </c>
      <c r="B51" s="134">
        <v>44277</v>
      </c>
      <c r="C51" s="88" t="s">
        <v>122</v>
      </c>
      <c r="D51" s="89" t="s">
        <v>126</v>
      </c>
      <c r="E51" s="89" t="s">
        <v>300</v>
      </c>
      <c r="F51" s="89" t="s">
        <v>299</v>
      </c>
      <c r="G51" s="90" t="s">
        <v>127</v>
      </c>
      <c r="H51" s="90" t="s">
        <v>501</v>
      </c>
      <c r="I51" s="89" t="s">
        <v>128</v>
      </c>
      <c r="J51" s="89">
        <v>17.399999999999999</v>
      </c>
      <c r="K51" s="111">
        <f>S51*6</f>
        <v>118.96219100555834</v>
      </c>
      <c r="L51" s="111">
        <f>S51*3</f>
        <v>59.481095502779169</v>
      </c>
      <c r="M51" s="49" t="s">
        <v>10</v>
      </c>
      <c r="N51" s="79" t="s">
        <v>463</v>
      </c>
      <c r="O51" s="272"/>
      <c r="P51" s="60"/>
      <c r="Q51" s="124"/>
      <c r="R51" s="265"/>
      <c r="S51" s="94">
        <f>14.5*J51*1*(1+1.2+0.5)*1.2*12/1979*4</f>
        <v>19.827031834259724</v>
      </c>
      <c r="T51" s="235"/>
    </row>
    <row r="52" spans="1:20" s="264" customFormat="1" ht="20.399999999999999" x14ac:dyDescent="0.2">
      <c r="A52" s="89"/>
      <c r="B52" s="100"/>
      <c r="C52" s="100"/>
      <c r="D52" s="100"/>
      <c r="E52" s="89"/>
      <c r="F52" s="89"/>
      <c r="G52" s="100"/>
      <c r="H52" s="100"/>
      <c r="I52" s="100"/>
      <c r="J52" s="100"/>
      <c r="K52" s="271"/>
      <c r="L52" s="271"/>
      <c r="M52" s="49" t="s">
        <v>11</v>
      </c>
      <c r="N52" s="61"/>
      <c r="O52" s="273"/>
      <c r="P52" s="62"/>
      <c r="Q52" s="92"/>
      <c r="R52" s="265"/>
      <c r="S52" s="94"/>
      <c r="T52" s="235"/>
    </row>
    <row r="53" spans="1:20" s="264" customFormat="1" ht="10.199999999999999" x14ac:dyDescent="0.2">
      <c r="A53" s="89"/>
      <c r="B53" s="100"/>
      <c r="C53" s="100"/>
      <c r="D53" s="100"/>
      <c r="E53" s="89"/>
      <c r="F53" s="89"/>
      <c r="G53" s="100"/>
      <c r="H53" s="100"/>
      <c r="I53" s="100"/>
      <c r="J53" s="100"/>
      <c r="K53" s="271"/>
      <c r="L53" s="271"/>
      <c r="M53" s="49" t="s">
        <v>12</v>
      </c>
      <c r="N53" s="61"/>
      <c r="O53" s="273"/>
      <c r="P53" s="62"/>
      <c r="Q53" s="92"/>
      <c r="R53" s="265"/>
      <c r="S53" s="94"/>
      <c r="T53" s="235"/>
    </row>
    <row r="54" spans="1:20" s="264" customFormat="1" ht="10.199999999999999" x14ac:dyDescent="0.2">
      <c r="A54" s="89"/>
      <c r="B54" s="100"/>
      <c r="C54" s="100"/>
      <c r="D54" s="100"/>
      <c r="E54" s="89"/>
      <c r="F54" s="89"/>
      <c r="G54" s="100"/>
      <c r="H54" s="100"/>
      <c r="I54" s="100"/>
      <c r="J54" s="100"/>
      <c r="K54" s="271"/>
      <c r="L54" s="271"/>
      <c r="M54" s="49" t="s">
        <v>13</v>
      </c>
      <c r="N54" s="61"/>
      <c r="O54" s="273"/>
      <c r="P54" s="62"/>
      <c r="Q54" s="92"/>
      <c r="R54" s="265"/>
      <c r="S54" s="94"/>
      <c r="T54" s="235"/>
    </row>
    <row r="55" spans="1:20" s="264" customFormat="1" ht="10.199999999999999" x14ac:dyDescent="0.2">
      <c r="A55" s="89"/>
      <c r="B55" s="100"/>
      <c r="C55" s="100"/>
      <c r="D55" s="100"/>
      <c r="E55" s="89"/>
      <c r="F55" s="89"/>
      <c r="G55" s="100"/>
      <c r="H55" s="100"/>
      <c r="I55" s="100"/>
      <c r="J55" s="100"/>
      <c r="K55" s="271"/>
      <c r="L55" s="271"/>
      <c r="M55" s="49" t="s">
        <v>14</v>
      </c>
      <c r="N55" s="61"/>
      <c r="O55" s="273"/>
      <c r="P55" s="62"/>
      <c r="Q55" s="92"/>
      <c r="R55" s="265"/>
      <c r="S55" s="94"/>
      <c r="T55" s="235"/>
    </row>
    <row r="56" spans="1:20" s="264" customFormat="1" ht="18" customHeight="1" x14ac:dyDescent="0.2">
      <c r="A56" s="89"/>
      <c r="B56" s="100"/>
      <c r="C56" s="100"/>
      <c r="D56" s="100"/>
      <c r="E56" s="89"/>
      <c r="F56" s="89"/>
      <c r="G56" s="100"/>
      <c r="H56" s="100"/>
      <c r="I56" s="100"/>
      <c r="J56" s="100"/>
      <c r="K56" s="271"/>
      <c r="L56" s="271"/>
      <c r="M56" s="252" t="s">
        <v>533</v>
      </c>
      <c r="N56" s="80"/>
      <c r="O56" s="274"/>
      <c r="P56" s="81"/>
      <c r="Q56" s="78"/>
      <c r="R56" s="265"/>
      <c r="S56" s="94"/>
      <c r="T56" s="235"/>
    </row>
    <row r="57" spans="1:20" s="269" customFormat="1" ht="10.199999999999999" x14ac:dyDescent="0.2">
      <c r="A57" s="148">
        <f>A51+1</f>
        <v>9</v>
      </c>
      <c r="B57" s="159">
        <v>44343</v>
      </c>
      <c r="C57" s="159" t="s">
        <v>122</v>
      </c>
      <c r="D57" s="148" t="s">
        <v>132</v>
      </c>
      <c r="E57" s="148" t="s">
        <v>300</v>
      </c>
      <c r="F57" s="148" t="s">
        <v>299</v>
      </c>
      <c r="G57" s="155" t="s">
        <v>133</v>
      </c>
      <c r="H57" s="155" t="s">
        <v>309</v>
      </c>
      <c r="I57" s="155" t="s">
        <v>134</v>
      </c>
      <c r="J57" s="158">
        <v>18.8</v>
      </c>
      <c r="K57" s="266">
        <f>S57*6</f>
        <v>76.16821424962103</v>
      </c>
      <c r="L57" s="266">
        <f>S57*3</f>
        <v>38.084107124810515</v>
      </c>
      <c r="M57" s="17" t="s">
        <v>10</v>
      </c>
      <c r="N57" s="169" t="s">
        <v>471</v>
      </c>
      <c r="O57" s="275"/>
      <c r="P57" s="276"/>
      <c r="Q57" s="149"/>
      <c r="R57" s="267"/>
      <c r="S57" s="257">
        <f>14.5*J57*1*(1+0.1+0.5)*1.2*12/1979*4</f>
        <v>12.694702374936838</v>
      </c>
      <c r="T57" s="268"/>
    </row>
    <row r="58" spans="1:20" s="269" customFormat="1" ht="20.399999999999999" x14ac:dyDescent="0.2">
      <c r="A58" s="148"/>
      <c r="B58" s="114"/>
      <c r="C58" s="114"/>
      <c r="D58" s="114"/>
      <c r="E58" s="148"/>
      <c r="F58" s="148"/>
      <c r="G58" s="114"/>
      <c r="H58" s="114"/>
      <c r="I58" s="114"/>
      <c r="J58" s="114"/>
      <c r="K58" s="270"/>
      <c r="L58" s="270"/>
      <c r="M58" s="17" t="s">
        <v>11</v>
      </c>
      <c r="N58" s="170"/>
      <c r="O58" s="277"/>
      <c r="P58" s="278"/>
      <c r="Q58" s="106"/>
      <c r="R58" s="267"/>
      <c r="S58" s="257"/>
      <c r="T58" s="268"/>
    </row>
    <row r="59" spans="1:20" s="269" customFormat="1" ht="10.199999999999999" x14ac:dyDescent="0.2">
      <c r="A59" s="148"/>
      <c r="B59" s="114"/>
      <c r="C59" s="114"/>
      <c r="D59" s="114"/>
      <c r="E59" s="148"/>
      <c r="F59" s="148"/>
      <c r="G59" s="114"/>
      <c r="H59" s="114"/>
      <c r="I59" s="114"/>
      <c r="J59" s="114"/>
      <c r="K59" s="270"/>
      <c r="L59" s="270"/>
      <c r="M59" s="17" t="s">
        <v>12</v>
      </c>
      <c r="N59" s="170"/>
      <c r="O59" s="277"/>
      <c r="P59" s="278"/>
      <c r="Q59" s="106"/>
      <c r="R59" s="267"/>
      <c r="S59" s="257"/>
      <c r="T59" s="268"/>
    </row>
    <row r="60" spans="1:20" s="269" customFormat="1" ht="10.199999999999999" x14ac:dyDescent="0.2">
      <c r="A60" s="148"/>
      <c r="B60" s="114"/>
      <c r="C60" s="114"/>
      <c r="D60" s="114"/>
      <c r="E60" s="148"/>
      <c r="F60" s="148"/>
      <c r="G60" s="114"/>
      <c r="H60" s="114"/>
      <c r="I60" s="114"/>
      <c r="J60" s="114"/>
      <c r="K60" s="270"/>
      <c r="L60" s="270"/>
      <c r="M60" s="17" t="s">
        <v>13</v>
      </c>
      <c r="N60" s="170"/>
      <c r="O60" s="277"/>
      <c r="P60" s="278"/>
      <c r="Q60" s="106"/>
      <c r="R60" s="267"/>
      <c r="S60" s="257"/>
      <c r="T60" s="268"/>
    </row>
    <row r="61" spans="1:20" s="269" customFormat="1" ht="10.199999999999999" x14ac:dyDescent="0.2">
      <c r="A61" s="148"/>
      <c r="B61" s="114"/>
      <c r="C61" s="114"/>
      <c r="D61" s="114"/>
      <c r="E61" s="148"/>
      <c r="F61" s="148"/>
      <c r="G61" s="114"/>
      <c r="H61" s="114"/>
      <c r="I61" s="114"/>
      <c r="J61" s="114"/>
      <c r="K61" s="270"/>
      <c r="L61" s="270"/>
      <c r="M61" s="17" t="s">
        <v>14</v>
      </c>
      <c r="N61" s="170"/>
      <c r="O61" s="277"/>
      <c r="P61" s="278"/>
      <c r="Q61" s="106"/>
      <c r="R61" s="267"/>
      <c r="S61" s="257"/>
      <c r="T61" s="268"/>
    </row>
    <row r="62" spans="1:20" s="269" customFormat="1" ht="19.2" customHeight="1" x14ac:dyDescent="0.2">
      <c r="A62" s="148"/>
      <c r="B62" s="114"/>
      <c r="C62" s="114"/>
      <c r="D62" s="114"/>
      <c r="E62" s="148"/>
      <c r="F62" s="148"/>
      <c r="G62" s="114"/>
      <c r="H62" s="114"/>
      <c r="I62" s="114"/>
      <c r="J62" s="114"/>
      <c r="K62" s="270"/>
      <c r="L62" s="270"/>
      <c r="M62" s="261" t="s">
        <v>533</v>
      </c>
      <c r="N62" s="171"/>
      <c r="O62" s="279"/>
      <c r="P62" s="280"/>
      <c r="Q62" s="107"/>
      <c r="R62" s="267"/>
      <c r="S62" s="257"/>
      <c r="T62" s="268"/>
    </row>
    <row r="63" spans="1:20" s="264" customFormat="1" ht="10.199999999999999" x14ac:dyDescent="0.2">
      <c r="A63" s="89">
        <f>A57+1</f>
        <v>10</v>
      </c>
      <c r="B63" s="88">
        <v>44368</v>
      </c>
      <c r="C63" s="88" t="s">
        <v>122</v>
      </c>
      <c r="D63" s="89" t="s">
        <v>135</v>
      </c>
      <c r="E63" s="89" t="s">
        <v>300</v>
      </c>
      <c r="F63" s="89" t="s">
        <v>299</v>
      </c>
      <c r="G63" s="90" t="s">
        <v>136</v>
      </c>
      <c r="H63" s="90" t="s">
        <v>308</v>
      </c>
      <c r="I63" s="90" t="s">
        <v>137</v>
      </c>
      <c r="J63" s="91">
        <v>77.7</v>
      </c>
      <c r="K63" s="111">
        <f>S63*6</f>
        <v>196.75100555836281</v>
      </c>
      <c r="L63" s="111">
        <f>S63*3</f>
        <v>98.375502779181403</v>
      </c>
      <c r="M63" s="49" t="s">
        <v>10</v>
      </c>
      <c r="N63" s="89" t="s">
        <v>463</v>
      </c>
      <c r="O63" s="89"/>
      <c r="P63" s="89"/>
      <c r="Q63" s="89"/>
      <c r="R63" s="265"/>
      <c r="S63" s="94">
        <f>14.5*J63*1*(1+0.5+0.5)*1.2*12/1979*2</f>
        <v>32.791834259727132</v>
      </c>
      <c r="T63" s="235"/>
    </row>
    <row r="64" spans="1:20" s="264" customFormat="1" ht="20.399999999999999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111"/>
      <c r="L64" s="111"/>
      <c r="M64" s="49" t="s">
        <v>11</v>
      </c>
      <c r="N64" s="89"/>
      <c r="O64" s="89"/>
      <c r="P64" s="89"/>
      <c r="Q64" s="89"/>
      <c r="R64" s="265"/>
      <c r="S64" s="94"/>
      <c r="T64" s="235"/>
    </row>
    <row r="65" spans="1:20" s="264" customFormat="1" ht="10.199999999999999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111"/>
      <c r="L65" s="111"/>
      <c r="M65" s="49" t="s">
        <v>12</v>
      </c>
      <c r="N65" s="89"/>
      <c r="O65" s="89"/>
      <c r="P65" s="89"/>
      <c r="Q65" s="89"/>
      <c r="R65" s="265"/>
      <c r="S65" s="94"/>
      <c r="T65" s="235"/>
    </row>
    <row r="66" spans="1:20" s="264" customFormat="1" ht="10.199999999999999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111"/>
      <c r="L66" s="111"/>
      <c r="M66" s="49" t="s">
        <v>13</v>
      </c>
      <c r="N66" s="89"/>
      <c r="O66" s="89"/>
      <c r="P66" s="89"/>
      <c r="Q66" s="89"/>
      <c r="R66" s="265"/>
      <c r="S66" s="94"/>
      <c r="T66" s="235"/>
    </row>
    <row r="67" spans="1:20" s="264" customFormat="1" ht="10.199999999999999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111"/>
      <c r="L67" s="111"/>
      <c r="M67" s="49" t="s">
        <v>14</v>
      </c>
      <c r="N67" s="89"/>
      <c r="O67" s="89"/>
      <c r="P67" s="89"/>
      <c r="Q67" s="89"/>
      <c r="R67" s="265"/>
      <c r="S67" s="94"/>
      <c r="T67" s="235"/>
    </row>
    <row r="68" spans="1:20" s="264" customFormat="1" ht="10.199999999999999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111"/>
      <c r="L68" s="111"/>
      <c r="M68" s="49" t="s">
        <v>533</v>
      </c>
      <c r="N68" s="89"/>
      <c r="O68" s="89"/>
      <c r="P68" s="89"/>
      <c r="Q68" s="89"/>
      <c r="R68" s="265"/>
      <c r="S68" s="94"/>
      <c r="T68" s="235"/>
    </row>
    <row r="69" spans="1:20" s="269" customFormat="1" ht="10.199999999999999" x14ac:dyDescent="0.2">
      <c r="A69" s="148">
        <f>A63+1</f>
        <v>11</v>
      </c>
      <c r="B69" s="156">
        <v>44363</v>
      </c>
      <c r="C69" s="156">
        <v>46188</v>
      </c>
      <c r="D69" s="57" t="s">
        <v>142</v>
      </c>
      <c r="E69" s="148" t="s">
        <v>300</v>
      </c>
      <c r="F69" s="148" t="s">
        <v>299</v>
      </c>
      <c r="G69" s="57" t="s">
        <v>143</v>
      </c>
      <c r="H69" s="57" t="s">
        <v>307</v>
      </c>
      <c r="I69" s="57" t="s">
        <v>144</v>
      </c>
      <c r="J69" s="177">
        <v>22.7</v>
      </c>
      <c r="K69" s="266">
        <f>S69*6</f>
        <v>3554.8199999999997</v>
      </c>
      <c r="L69" s="266">
        <f>S69*3</f>
        <v>1777.4099999999999</v>
      </c>
      <c r="M69" s="16" t="s">
        <v>10</v>
      </c>
      <c r="N69" s="108" t="s">
        <v>457</v>
      </c>
      <c r="O69" s="73"/>
      <c r="P69" s="57" t="s">
        <v>143</v>
      </c>
      <c r="Q69" s="149"/>
      <c r="R69" s="267"/>
      <c r="S69" s="257">
        <f>14.5*J69*1.2*(1+1.2+0.3)*0.6</f>
        <v>592.46999999999991</v>
      </c>
      <c r="T69" s="268"/>
    </row>
    <row r="70" spans="1:20" s="269" customFormat="1" ht="20.399999999999999" x14ac:dyDescent="0.2">
      <c r="A70" s="148"/>
      <c r="B70" s="106"/>
      <c r="C70" s="106"/>
      <c r="D70" s="106"/>
      <c r="E70" s="148"/>
      <c r="F70" s="148"/>
      <c r="G70" s="106"/>
      <c r="H70" s="106"/>
      <c r="I70" s="106"/>
      <c r="J70" s="106"/>
      <c r="K70" s="270"/>
      <c r="L70" s="270"/>
      <c r="M70" s="17" t="s">
        <v>11</v>
      </c>
      <c r="N70" s="74"/>
      <c r="O70" s="75"/>
      <c r="P70" s="106"/>
      <c r="Q70" s="106"/>
      <c r="R70" s="267"/>
      <c r="S70" s="257"/>
      <c r="T70" s="268"/>
    </row>
    <row r="71" spans="1:20" s="269" customFormat="1" ht="10.199999999999999" x14ac:dyDescent="0.2">
      <c r="A71" s="148"/>
      <c r="B71" s="106"/>
      <c r="C71" s="106"/>
      <c r="D71" s="106"/>
      <c r="E71" s="148"/>
      <c r="F71" s="148"/>
      <c r="G71" s="106"/>
      <c r="H71" s="106"/>
      <c r="I71" s="106"/>
      <c r="J71" s="106"/>
      <c r="K71" s="270"/>
      <c r="L71" s="270"/>
      <c r="M71" s="17" t="s">
        <v>12</v>
      </c>
      <c r="N71" s="74"/>
      <c r="O71" s="75"/>
      <c r="P71" s="106"/>
      <c r="Q71" s="106"/>
      <c r="R71" s="267"/>
      <c r="S71" s="257"/>
      <c r="T71" s="268"/>
    </row>
    <row r="72" spans="1:20" s="269" customFormat="1" ht="10.199999999999999" x14ac:dyDescent="0.2">
      <c r="A72" s="148"/>
      <c r="B72" s="106"/>
      <c r="C72" s="106"/>
      <c r="D72" s="106"/>
      <c r="E72" s="148"/>
      <c r="F72" s="148"/>
      <c r="G72" s="106"/>
      <c r="H72" s="106"/>
      <c r="I72" s="106"/>
      <c r="J72" s="106"/>
      <c r="K72" s="270"/>
      <c r="L72" s="270"/>
      <c r="M72" s="17" t="s">
        <v>13</v>
      </c>
      <c r="N72" s="74"/>
      <c r="O72" s="75"/>
      <c r="P72" s="106"/>
      <c r="Q72" s="106"/>
      <c r="R72" s="267"/>
      <c r="S72" s="257"/>
      <c r="T72" s="268"/>
    </row>
    <row r="73" spans="1:20" s="269" customFormat="1" ht="10.199999999999999" x14ac:dyDescent="0.2">
      <c r="A73" s="148"/>
      <c r="B73" s="106"/>
      <c r="C73" s="106"/>
      <c r="D73" s="106"/>
      <c r="E73" s="148"/>
      <c r="F73" s="148"/>
      <c r="G73" s="106"/>
      <c r="H73" s="106"/>
      <c r="I73" s="106"/>
      <c r="J73" s="106"/>
      <c r="K73" s="270"/>
      <c r="L73" s="270"/>
      <c r="M73" s="17" t="s">
        <v>14</v>
      </c>
      <c r="N73" s="74"/>
      <c r="O73" s="75"/>
      <c r="P73" s="106"/>
      <c r="Q73" s="106"/>
      <c r="R73" s="267"/>
      <c r="S73" s="257"/>
      <c r="T73" s="268"/>
    </row>
    <row r="74" spans="1:20" s="269" customFormat="1" ht="10.199999999999999" x14ac:dyDescent="0.2">
      <c r="A74" s="148"/>
      <c r="B74" s="107"/>
      <c r="C74" s="107"/>
      <c r="D74" s="107"/>
      <c r="E74" s="148"/>
      <c r="F74" s="148"/>
      <c r="G74" s="107"/>
      <c r="H74" s="107"/>
      <c r="I74" s="107"/>
      <c r="J74" s="107"/>
      <c r="K74" s="270"/>
      <c r="L74" s="270"/>
      <c r="M74" s="261" t="s">
        <v>533</v>
      </c>
      <c r="N74" s="148" t="s">
        <v>485</v>
      </c>
      <c r="O74" s="148"/>
      <c r="P74" s="107"/>
      <c r="Q74" s="107"/>
      <c r="R74" s="267"/>
      <c r="S74" s="257"/>
      <c r="T74" s="268"/>
    </row>
    <row r="75" spans="1:20" s="264" customFormat="1" ht="10.199999999999999" x14ac:dyDescent="0.2">
      <c r="A75" s="89">
        <f>A69+1</f>
        <v>12</v>
      </c>
      <c r="B75" s="134">
        <v>45001</v>
      </c>
      <c r="C75" s="134">
        <v>45260</v>
      </c>
      <c r="D75" s="89" t="s">
        <v>583</v>
      </c>
      <c r="E75" s="89" t="s">
        <v>300</v>
      </c>
      <c r="F75" s="89" t="s">
        <v>299</v>
      </c>
      <c r="G75" s="89" t="s">
        <v>153</v>
      </c>
      <c r="H75" s="89" t="s">
        <v>306</v>
      </c>
      <c r="I75" s="89" t="s">
        <v>590</v>
      </c>
      <c r="J75" s="89">
        <v>63.5</v>
      </c>
      <c r="K75" s="111">
        <f>S75*6</f>
        <v>16546.982400000001</v>
      </c>
      <c r="L75" s="111">
        <f>S75*3</f>
        <v>8273.4912000000004</v>
      </c>
      <c r="M75" s="49" t="s">
        <v>10</v>
      </c>
      <c r="N75" s="281">
        <v>0</v>
      </c>
      <c r="O75" s="281">
        <v>0</v>
      </c>
      <c r="P75" s="89" t="s">
        <v>153</v>
      </c>
      <c r="Q75" s="58"/>
      <c r="R75" s="265"/>
      <c r="S75" s="94">
        <f>14.5*J75*1.2*(1+1.2*0.9)*1.2</f>
        <v>2757.8303999999998</v>
      </c>
      <c r="T75" s="235"/>
    </row>
    <row r="76" spans="1:20" s="264" customFormat="1" ht="20.399999999999999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111"/>
      <c r="L76" s="111"/>
      <c r="M76" s="49" t="s">
        <v>11</v>
      </c>
      <c r="N76" s="281">
        <v>0</v>
      </c>
      <c r="O76" s="281">
        <v>0</v>
      </c>
      <c r="P76" s="89"/>
      <c r="Q76" s="71"/>
      <c r="R76" s="265"/>
      <c r="S76" s="94"/>
      <c r="T76" s="235"/>
    </row>
    <row r="77" spans="1:20" s="264" customFormat="1" ht="10.199999999999999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111"/>
      <c r="L77" s="111"/>
      <c r="M77" s="49" t="s">
        <v>12</v>
      </c>
      <c r="N77" s="281">
        <v>0</v>
      </c>
      <c r="O77" s="281">
        <v>0</v>
      </c>
      <c r="P77" s="89"/>
      <c r="Q77" s="71"/>
      <c r="R77" s="265"/>
      <c r="S77" s="94"/>
      <c r="T77" s="235"/>
    </row>
    <row r="78" spans="1:20" s="264" customFormat="1" ht="10.199999999999999" x14ac:dyDescent="0.2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111"/>
      <c r="L78" s="111"/>
      <c r="M78" s="49" t="s">
        <v>13</v>
      </c>
      <c r="N78" s="281">
        <v>0</v>
      </c>
      <c r="O78" s="281">
        <v>0</v>
      </c>
      <c r="P78" s="89"/>
      <c r="Q78" s="71"/>
      <c r="R78" s="265"/>
      <c r="S78" s="94"/>
      <c r="T78" s="235"/>
    </row>
    <row r="79" spans="1:20" s="264" customFormat="1" ht="10.199999999999999" x14ac:dyDescent="0.2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111"/>
      <c r="L79" s="111"/>
      <c r="M79" s="49" t="s">
        <v>14</v>
      </c>
      <c r="N79" s="281">
        <v>0</v>
      </c>
      <c r="O79" s="281">
        <v>0</v>
      </c>
      <c r="P79" s="89"/>
      <c r="Q79" s="71"/>
      <c r="R79" s="265"/>
      <c r="S79" s="94"/>
      <c r="T79" s="235"/>
    </row>
    <row r="80" spans="1:20" s="264" customFormat="1" ht="10.199999999999999" x14ac:dyDescent="0.2">
      <c r="A80" s="89"/>
      <c r="B80" s="89"/>
      <c r="C80" s="89"/>
      <c r="D80" s="89"/>
      <c r="E80" s="89"/>
      <c r="F80" s="89"/>
      <c r="G80" s="89"/>
      <c r="H80" s="89"/>
      <c r="I80" s="193"/>
      <c r="J80" s="89"/>
      <c r="K80" s="111"/>
      <c r="L80" s="111"/>
      <c r="M80" s="252" t="s">
        <v>533</v>
      </c>
      <c r="N80" s="89" t="s">
        <v>485</v>
      </c>
      <c r="O80" s="89"/>
      <c r="P80" s="89"/>
      <c r="Q80" s="87"/>
      <c r="R80" s="265"/>
      <c r="S80" s="94"/>
      <c r="T80" s="235"/>
    </row>
    <row r="81" spans="1:20" s="264" customFormat="1" ht="40.799999999999997" x14ac:dyDescent="0.2">
      <c r="A81" s="71">
        <f>A75+1</f>
        <v>13</v>
      </c>
      <c r="B81" s="134">
        <v>44523</v>
      </c>
      <c r="C81" s="134">
        <v>46348</v>
      </c>
      <c r="D81" s="89" t="s">
        <v>561</v>
      </c>
      <c r="E81" s="89" t="s">
        <v>300</v>
      </c>
      <c r="F81" s="89" t="s">
        <v>299</v>
      </c>
      <c r="G81" s="89" t="s">
        <v>168</v>
      </c>
      <c r="H81" s="35" t="s">
        <v>502</v>
      </c>
      <c r="I81" s="89" t="s">
        <v>169</v>
      </c>
      <c r="J81" s="35">
        <v>11.6</v>
      </c>
      <c r="K81" s="34">
        <f>S81*6</f>
        <v>1816.5599999999995</v>
      </c>
      <c r="L81" s="34">
        <f>S81*3</f>
        <v>908.27999999999975</v>
      </c>
      <c r="M81" s="49" t="s">
        <v>10</v>
      </c>
      <c r="N81" s="79" t="s">
        <v>457</v>
      </c>
      <c r="O81" s="60"/>
      <c r="P81" s="89" t="s">
        <v>168</v>
      </c>
      <c r="Q81" s="58"/>
      <c r="R81" s="282"/>
      <c r="S81" s="55">
        <f>14.5*J81*1.2*(1+1.2+0.3)*0.6</f>
        <v>302.75999999999993</v>
      </c>
      <c r="T81" s="235"/>
    </row>
    <row r="82" spans="1:20" s="264" customFormat="1" ht="30.6" x14ac:dyDescent="0.2">
      <c r="A82" s="71"/>
      <c r="B82" s="89"/>
      <c r="C82" s="89"/>
      <c r="D82" s="89"/>
      <c r="E82" s="89"/>
      <c r="F82" s="89"/>
      <c r="G82" s="89"/>
      <c r="H82" s="35" t="s">
        <v>305</v>
      </c>
      <c r="I82" s="89"/>
      <c r="J82" s="35">
        <v>5.9</v>
      </c>
      <c r="K82" s="34">
        <f>S82*6</f>
        <v>769.95</v>
      </c>
      <c r="L82" s="34">
        <f>S82*3</f>
        <v>384.97500000000002</v>
      </c>
      <c r="M82" s="49" t="s">
        <v>11</v>
      </c>
      <c r="N82" s="61"/>
      <c r="O82" s="62"/>
      <c r="P82" s="89"/>
      <c r="Q82" s="71"/>
      <c r="R82" s="282"/>
      <c r="S82" s="55">
        <f>14.5*J82*1*(1+1.2+0.3)*0.6</f>
        <v>128.32500000000002</v>
      </c>
      <c r="T82" s="235"/>
    </row>
    <row r="83" spans="1:20" s="264" customFormat="1" ht="30.6" x14ac:dyDescent="0.2">
      <c r="A83" s="71"/>
      <c r="B83" s="89"/>
      <c r="C83" s="89"/>
      <c r="D83" s="89"/>
      <c r="E83" s="89"/>
      <c r="F83" s="89"/>
      <c r="G83" s="89"/>
      <c r="H83" s="35" t="s">
        <v>304</v>
      </c>
      <c r="I83" s="89"/>
      <c r="J83" s="35">
        <v>27.1</v>
      </c>
      <c r="K83" s="34">
        <f>S83*6</f>
        <v>4243.8600000000006</v>
      </c>
      <c r="L83" s="34">
        <f>S83*3</f>
        <v>2121.9300000000003</v>
      </c>
      <c r="M83" s="49" t="s">
        <v>12</v>
      </c>
      <c r="N83" s="61"/>
      <c r="O83" s="62"/>
      <c r="P83" s="89"/>
      <c r="Q83" s="71"/>
      <c r="R83" s="282"/>
      <c r="S83" s="55">
        <f>14.5*J83*1.2*(1+1.2+0.3)*0.6</f>
        <v>707.31000000000006</v>
      </c>
      <c r="T83" s="235"/>
    </row>
    <row r="84" spans="1:20" s="264" customFormat="1" ht="30.6" x14ac:dyDescent="0.2">
      <c r="A84" s="71"/>
      <c r="B84" s="89"/>
      <c r="C84" s="89"/>
      <c r="D84" s="89"/>
      <c r="E84" s="89"/>
      <c r="F84" s="89"/>
      <c r="G84" s="89"/>
      <c r="H84" s="35" t="s">
        <v>303</v>
      </c>
      <c r="I84" s="89"/>
      <c r="J84" s="35">
        <v>24.3</v>
      </c>
      <c r="K84" s="34">
        <f>S84*6</f>
        <v>3805.3799999999992</v>
      </c>
      <c r="L84" s="34">
        <f>S84*3</f>
        <v>1902.6899999999996</v>
      </c>
      <c r="M84" s="49" t="s">
        <v>13</v>
      </c>
      <c r="N84" s="61"/>
      <c r="O84" s="62"/>
      <c r="P84" s="89"/>
      <c r="Q84" s="71"/>
      <c r="R84" s="282"/>
      <c r="S84" s="55">
        <f>14.5*J84*1.2*(1+1.2+0.3)*0.6</f>
        <v>634.2299999999999</v>
      </c>
      <c r="T84" s="235"/>
    </row>
    <row r="85" spans="1:20" s="264" customFormat="1" ht="10.199999999999999" x14ac:dyDescent="0.2">
      <c r="A85" s="71"/>
      <c r="B85" s="89"/>
      <c r="C85" s="89"/>
      <c r="D85" s="89"/>
      <c r="E85" s="89"/>
      <c r="F85" s="89"/>
      <c r="G85" s="89"/>
      <c r="H85" s="58" t="s">
        <v>562</v>
      </c>
      <c r="I85" s="89"/>
      <c r="J85" s="58">
        <v>17.2</v>
      </c>
      <c r="K85" s="67">
        <f>S86*6</f>
        <v>2693.5199999999995</v>
      </c>
      <c r="L85" s="67">
        <f>S86*3</f>
        <v>1346.7599999999998</v>
      </c>
      <c r="M85" s="49" t="s">
        <v>14</v>
      </c>
      <c r="N85" s="61"/>
      <c r="O85" s="62"/>
      <c r="P85" s="89"/>
      <c r="Q85" s="71"/>
      <c r="R85" s="282"/>
      <c r="S85" s="55"/>
      <c r="T85" s="235"/>
    </row>
    <row r="86" spans="1:20" s="264" customFormat="1" ht="10.199999999999999" x14ac:dyDescent="0.2">
      <c r="A86" s="87"/>
      <c r="B86" s="89"/>
      <c r="C86" s="89"/>
      <c r="D86" s="89"/>
      <c r="E86" s="89"/>
      <c r="F86" s="89"/>
      <c r="G86" s="89"/>
      <c r="H86" s="87"/>
      <c r="I86" s="89"/>
      <c r="J86" s="87"/>
      <c r="K86" s="87"/>
      <c r="L86" s="87"/>
      <c r="M86" s="252" t="s">
        <v>533</v>
      </c>
      <c r="N86" s="89" t="s">
        <v>485</v>
      </c>
      <c r="O86" s="89"/>
      <c r="P86" s="89"/>
      <c r="Q86" s="87"/>
      <c r="R86" s="282"/>
      <c r="S86" s="55">
        <f>14.5*J85*1.2*(1+1.2+0.3)*0.6</f>
        <v>448.91999999999996</v>
      </c>
      <c r="T86" s="235"/>
    </row>
    <row r="87" spans="1:20" s="264" customFormat="1" ht="10.199999999999999" x14ac:dyDescent="0.2">
      <c r="A87" s="89">
        <f>A81+1</f>
        <v>14</v>
      </c>
      <c r="B87" s="134">
        <v>45064</v>
      </c>
      <c r="C87" s="134">
        <v>46159</v>
      </c>
      <c r="D87" s="89" t="s">
        <v>657</v>
      </c>
      <c r="E87" s="89" t="s">
        <v>658</v>
      </c>
      <c r="F87" s="89" t="s">
        <v>299</v>
      </c>
      <c r="G87" s="89" t="s">
        <v>48</v>
      </c>
      <c r="H87" s="89" t="s">
        <v>659</v>
      </c>
      <c r="I87" s="89" t="s">
        <v>170</v>
      </c>
      <c r="J87" s="89">
        <v>57.1</v>
      </c>
      <c r="K87" s="67">
        <f>S87*6</f>
        <v>15213.084480000005</v>
      </c>
      <c r="L87" s="111">
        <f>S87*3</f>
        <v>7606.5422400000025</v>
      </c>
      <c r="M87" s="49" t="s">
        <v>10</v>
      </c>
      <c r="N87" s="79" t="s">
        <v>457</v>
      </c>
      <c r="O87" s="60"/>
      <c r="P87" s="89" t="s">
        <v>549</v>
      </c>
      <c r="Q87" s="124"/>
      <c r="R87" s="265"/>
      <c r="S87" s="94">
        <f>14.5*J87*1.1*(1+1.2*1.1)*1.2</f>
        <v>2535.5140800000008</v>
      </c>
      <c r="T87" s="235"/>
    </row>
    <row r="88" spans="1:20" s="264" customFormat="1" ht="20.399999999999999" x14ac:dyDescent="0.2">
      <c r="A88" s="89"/>
      <c r="B88" s="100"/>
      <c r="C88" s="100"/>
      <c r="D88" s="100"/>
      <c r="E88" s="100"/>
      <c r="F88" s="89"/>
      <c r="G88" s="100"/>
      <c r="H88" s="100"/>
      <c r="I88" s="100"/>
      <c r="J88" s="100"/>
      <c r="K88" s="283"/>
      <c r="L88" s="175"/>
      <c r="M88" s="49" t="s">
        <v>11</v>
      </c>
      <c r="N88" s="61"/>
      <c r="O88" s="62"/>
      <c r="P88" s="152"/>
      <c r="Q88" s="92"/>
      <c r="R88" s="265"/>
      <c r="S88" s="94"/>
      <c r="T88" s="235"/>
    </row>
    <row r="89" spans="1:20" s="264" customFormat="1" ht="10.199999999999999" x14ac:dyDescent="0.2">
      <c r="A89" s="89"/>
      <c r="B89" s="100"/>
      <c r="C89" s="100"/>
      <c r="D89" s="100"/>
      <c r="E89" s="100"/>
      <c r="F89" s="89"/>
      <c r="G89" s="100"/>
      <c r="H89" s="100"/>
      <c r="I89" s="100"/>
      <c r="J89" s="100"/>
      <c r="K89" s="283"/>
      <c r="L89" s="175"/>
      <c r="M89" s="49" t="s">
        <v>12</v>
      </c>
      <c r="N89" s="61"/>
      <c r="O89" s="62"/>
      <c r="P89" s="152"/>
      <c r="Q89" s="92"/>
      <c r="R89" s="265"/>
      <c r="S89" s="94"/>
      <c r="T89" s="235"/>
    </row>
    <row r="90" spans="1:20" s="264" customFormat="1" ht="10.199999999999999" x14ac:dyDescent="0.2">
      <c r="A90" s="89"/>
      <c r="B90" s="100"/>
      <c r="C90" s="100"/>
      <c r="D90" s="100"/>
      <c r="E90" s="100"/>
      <c r="F90" s="89"/>
      <c r="G90" s="100"/>
      <c r="H90" s="100"/>
      <c r="I90" s="100"/>
      <c r="J90" s="100"/>
      <c r="K90" s="283"/>
      <c r="L90" s="175"/>
      <c r="M90" s="49" t="s">
        <v>13</v>
      </c>
      <c r="N90" s="61"/>
      <c r="O90" s="62"/>
      <c r="P90" s="152"/>
      <c r="Q90" s="92"/>
      <c r="R90" s="265"/>
      <c r="S90" s="94"/>
      <c r="T90" s="235"/>
    </row>
    <row r="91" spans="1:20" s="264" customFormat="1" ht="10.199999999999999" x14ac:dyDescent="0.2">
      <c r="A91" s="89"/>
      <c r="B91" s="100"/>
      <c r="C91" s="100"/>
      <c r="D91" s="100"/>
      <c r="E91" s="100"/>
      <c r="F91" s="89"/>
      <c r="G91" s="100"/>
      <c r="H91" s="100"/>
      <c r="I91" s="100"/>
      <c r="J91" s="100"/>
      <c r="K91" s="283"/>
      <c r="L91" s="175"/>
      <c r="M91" s="49" t="s">
        <v>14</v>
      </c>
      <c r="N91" s="61"/>
      <c r="O91" s="62"/>
      <c r="P91" s="152"/>
      <c r="Q91" s="92"/>
      <c r="R91" s="265"/>
      <c r="S91" s="94"/>
      <c r="T91" s="235"/>
    </row>
    <row r="92" spans="1:20" s="264" customFormat="1" ht="10.199999999999999" x14ac:dyDescent="0.2">
      <c r="A92" s="89"/>
      <c r="B92" s="100"/>
      <c r="C92" s="100"/>
      <c r="D92" s="100"/>
      <c r="E92" s="100"/>
      <c r="F92" s="89"/>
      <c r="G92" s="100"/>
      <c r="H92" s="100"/>
      <c r="I92" s="100"/>
      <c r="J92" s="100"/>
      <c r="K92" s="284"/>
      <c r="L92" s="175"/>
      <c r="M92" s="252" t="s">
        <v>533</v>
      </c>
      <c r="N92" s="80"/>
      <c r="O92" s="81"/>
      <c r="P92" s="152"/>
      <c r="Q92" s="78"/>
      <c r="R92" s="265"/>
      <c r="S92" s="94"/>
      <c r="T92" s="235"/>
    </row>
    <row r="93" spans="1:20" s="264" customFormat="1" ht="10.199999999999999" x14ac:dyDescent="0.2">
      <c r="A93" s="89">
        <f>A87+1</f>
        <v>15</v>
      </c>
      <c r="B93" s="134">
        <v>44393</v>
      </c>
      <c r="C93" s="88" t="s">
        <v>122</v>
      </c>
      <c r="D93" s="89" t="s">
        <v>171</v>
      </c>
      <c r="E93" s="89" t="s">
        <v>440</v>
      </c>
      <c r="F93" s="89" t="s">
        <v>299</v>
      </c>
      <c r="G93" s="89" t="s">
        <v>172</v>
      </c>
      <c r="H93" s="89" t="s">
        <v>503</v>
      </c>
      <c r="I93" s="89" t="s">
        <v>173</v>
      </c>
      <c r="J93" s="89">
        <v>24.5</v>
      </c>
      <c r="K93" s="67">
        <f>S93*6</f>
        <v>7929.18</v>
      </c>
      <c r="L93" s="111">
        <f>S93*3</f>
        <v>3964.59</v>
      </c>
      <c r="M93" s="49" t="s">
        <v>10</v>
      </c>
      <c r="N93" s="79" t="s">
        <v>464</v>
      </c>
      <c r="O93" s="272"/>
      <c r="P93" s="60"/>
      <c r="Q93" s="124"/>
      <c r="R93" s="265"/>
      <c r="S93" s="94">
        <f>14.5*J93*1*(1+1.2+0.9)*1.2</f>
        <v>1321.53</v>
      </c>
      <c r="T93" s="235"/>
    </row>
    <row r="94" spans="1:20" s="264" customFormat="1" ht="20.399999999999999" x14ac:dyDescent="0.2">
      <c r="A94" s="89"/>
      <c r="B94" s="100"/>
      <c r="C94" s="100"/>
      <c r="D94" s="100"/>
      <c r="E94" s="100"/>
      <c r="F94" s="89"/>
      <c r="G94" s="100"/>
      <c r="H94" s="100"/>
      <c r="I94" s="100"/>
      <c r="J94" s="100"/>
      <c r="K94" s="283"/>
      <c r="L94" s="175"/>
      <c r="M94" s="49" t="s">
        <v>11</v>
      </c>
      <c r="N94" s="61"/>
      <c r="O94" s="273"/>
      <c r="P94" s="62"/>
      <c r="Q94" s="92"/>
      <c r="R94" s="265"/>
      <c r="S94" s="94"/>
      <c r="T94" s="235"/>
    </row>
    <row r="95" spans="1:20" s="264" customFormat="1" ht="10.199999999999999" x14ac:dyDescent="0.2">
      <c r="A95" s="89"/>
      <c r="B95" s="100"/>
      <c r="C95" s="100"/>
      <c r="D95" s="100"/>
      <c r="E95" s="100"/>
      <c r="F95" s="89"/>
      <c r="G95" s="100"/>
      <c r="H95" s="100"/>
      <c r="I95" s="100"/>
      <c r="J95" s="100"/>
      <c r="K95" s="283"/>
      <c r="L95" s="175"/>
      <c r="M95" s="49" t="s">
        <v>12</v>
      </c>
      <c r="N95" s="61"/>
      <c r="O95" s="273"/>
      <c r="P95" s="62"/>
      <c r="Q95" s="92"/>
      <c r="R95" s="265"/>
      <c r="S95" s="94"/>
      <c r="T95" s="235"/>
    </row>
    <row r="96" spans="1:20" s="264" customFormat="1" ht="10.199999999999999" x14ac:dyDescent="0.2">
      <c r="A96" s="89"/>
      <c r="B96" s="100"/>
      <c r="C96" s="100"/>
      <c r="D96" s="100"/>
      <c r="E96" s="100"/>
      <c r="F96" s="89"/>
      <c r="G96" s="100"/>
      <c r="H96" s="100"/>
      <c r="I96" s="100"/>
      <c r="J96" s="100"/>
      <c r="K96" s="283"/>
      <c r="L96" s="175"/>
      <c r="M96" s="49" t="s">
        <v>13</v>
      </c>
      <c r="N96" s="61"/>
      <c r="O96" s="273"/>
      <c r="P96" s="62"/>
      <c r="Q96" s="92"/>
      <c r="R96" s="265"/>
      <c r="S96" s="94"/>
      <c r="T96" s="235"/>
    </row>
    <row r="97" spans="1:20" s="264" customFormat="1" ht="10.199999999999999" x14ac:dyDescent="0.2">
      <c r="A97" s="89"/>
      <c r="B97" s="100"/>
      <c r="C97" s="100"/>
      <c r="D97" s="100"/>
      <c r="E97" s="100"/>
      <c r="F97" s="89"/>
      <c r="G97" s="100"/>
      <c r="H97" s="100"/>
      <c r="I97" s="100"/>
      <c r="J97" s="100"/>
      <c r="K97" s="283"/>
      <c r="L97" s="175"/>
      <c r="M97" s="49" t="s">
        <v>14</v>
      </c>
      <c r="N97" s="61"/>
      <c r="O97" s="273"/>
      <c r="P97" s="62"/>
      <c r="Q97" s="92"/>
      <c r="R97" s="265"/>
      <c r="S97" s="94"/>
      <c r="T97" s="235"/>
    </row>
    <row r="98" spans="1:20" s="264" customFormat="1" ht="10.199999999999999" x14ac:dyDescent="0.2">
      <c r="A98" s="89"/>
      <c r="B98" s="100"/>
      <c r="C98" s="100"/>
      <c r="D98" s="100"/>
      <c r="E98" s="100"/>
      <c r="F98" s="89"/>
      <c r="G98" s="100"/>
      <c r="H98" s="100"/>
      <c r="I98" s="100"/>
      <c r="J98" s="100"/>
      <c r="K98" s="284"/>
      <c r="L98" s="175"/>
      <c r="M98" s="252" t="s">
        <v>533</v>
      </c>
      <c r="N98" s="80"/>
      <c r="O98" s="274"/>
      <c r="P98" s="81"/>
      <c r="Q98" s="78"/>
      <c r="R98" s="265"/>
      <c r="S98" s="94"/>
      <c r="T98" s="235"/>
    </row>
    <row r="99" spans="1:20" s="264" customFormat="1" ht="10.199999999999999" x14ac:dyDescent="0.2">
      <c r="A99" s="89">
        <f>A93+1</f>
        <v>16</v>
      </c>
      <c r="B99" s="134">
        <v>44399</v>
      </c>
      <c r="C99" s="88" t="s">
        <v>122</v>
      </c>
      <c r="D99" s="89" t="s">
        <v>174</v>
      </c>
      <c r="E99" s="89" t="s">
        <v>440</v>
      </c>
      <c r="F99" s="89" t="s">
        <v>299</v>
      </c>
      <c r="G99" s="89" t="s">
        <v>175</v>
      </c>
      <c r="H99" s="89" t="s">
        <v>319</v>
      </c>
      <c r="I99" s="89" t="s">
        <v>176</v>
      </c>
      <c r="J99" s="89">
        <v>17</v>
      </c>
      <c r="K99" s="67">
        <f>S99*6</f>
        <v>66.723153107630111</v>
      </c>
      <c r="L99" s="111">
        <f>S99*3</f>
        <v>33.361576553815055</v>
      </c>
      <c r="M99" s="49" t="s">
        <v>10</v>
      </c>
      <c r="N99" s="79" t="s">
        <v>464</v>
      </c>
      <c r="O99" s="272"/>
      <c r="P99" s="60"/>
      <c r="Q99" s="124"/>
      <c r="R99" s="265"/>
      <c r="S99" s="285">
        <f>14.5*J99*1*(1+1.2+0.9)*1.2*12/1979*2</f>
        <v>11.120525517938351</v>
      </c>
      <c r="T99" s="235"/>
    </row>
    <row r="100" spans="1:20" s="264" customFormat="1" ht="20.399999999999999" x14ac:dyDescent="0.2">
      <c r="A100" s="89"/>
      <c r="B100" s="100"/>
      <c r="C100" s="100"/>
      <c r="D100" s="100"/>
      <c r="E100" s="100"/>
      <c r="F100" s="89"/>
      <c r="G100" s="100"/>
      <c r="H100" s="100"/>
      <c r="I100" s="100"/>
      <c r="J100" s="100"/>
      <c r="K100" s="283"/>
      <c r="L100" s="175"/>
      <c r="M100" s="49" t="s">
        <v>11</v>
      </c>
      <c r="N100" s="61"/>
      <c r="O100" s="273"/>
      <c r="P100" s="62"/>
      <c r="Q100" s="92"/>
      <c r="R100" s="265"/>
      <c r="S100" s="285"/>
      <c r="T100" s="235"/>
    </row>
    <row r="101" spans="1:20" s="264" customFormat="1" ht="10.199999999999999" x14ac:dyDescent="0.2">
      <c r="A101" s="89"/>
      <c r="B101" s="100"/>
      <c r="C101" s="100"/>
      <c r="D101" s="100"/>
      <c r="E101" s="100"/>
      <c r="F101" s="89"/>
      <c r="G101" s="100"/>
      <c r="H101" s="100"/>
      <c r="I101" s="100"/>
      <c r="J101" s="100"/>
      <c r="K101" s="283"/>
      <c r="L101" s="175"/>
      <c r="M101" s="49" t="s">
        <v>12</v>
      </c>
      <c r="N101" s="61"/>
      <c r="O101" s="273"/>
      <c r="P101" s="62"/>
      <c r="Q101" s="92"/>
      <c r="R101" s="265"/>
      <c r="S101" s="285"/>
      <c r="T101" s="235"/>
    </row>
    <row r="102" spans="1:20" s="264" customFormat="1" ht="10.199999999999999" x14ac:dyDescent="0.2">
      <c r="A102" s="89"/>
      <c r="B102" s="100"/>
      <c r="C102" s="100"/>
      <c r="D102" s="100"/>
      <c r="E102" s="100"/>
      <c r="F102" s="89"/>
      <c r="G102" s="100"/>
      <c r="H102" s="100"/>
      <c r="I102" s="100"/>
      <c r="J102" s="100"/>
      <c r="K102" s="283"/>
      <c r="L102" s="175"/>
      <c r="M102" s="49" t="s">
        <v>13</v>
      </c>
      <c r="N102" s="61"/>
      <c r="O102" s="273"/>
      <c r="P102" s="62"/>
      <c r="Q102" s="92"/>
      <c r="R102" s="265"/>
      <c r="S102" s="285"/>
      <c r="T102" s="235"/>
    </row>
    <row r="103" spans="1:20" s="264" customFormat="1" ht="10.199999999999999" x14ac:dyDescent="0.2">
      <c r="A103" s="89"/>
      <c r="B103" s="100"/>
      <c r="C103" s="100"/>
      <c r="D103" s="100"/>
      <c r="E103" s="100"/>
      <c r="F103" s="89"/>
      <c r="G103" s="100"/>
      <c r="H103" s="100"/>
      <c r="I103" s="100"/>
      <c r="J103" s="100"/>
      <c r="K103" s="283"/>
      <c r="L103" s="175"/>
      <c r="M103" s="49" t="s">
        <v>14</v>
      </c>
      <c r="N103" s="61"/>
      <c r="O103" s="273"/>
      <c r="P103" s="62"/>
      <c r="Q103" s="92"/>
      <c r="R103" s="265"/>
      <c r="S103" s="285"/>
      <c r="T103" s="235"/>
    </row>
    <row r="104" spans="1:20" s="264" customFormat="1" ht="10.199999999999999" x14ac:dyDescent="0.2">
      <c r="A104" s="89"/>
      <c r="B104" s="100"/>
      <c r="C104" s="100"/>
      <c r="D104" s="100"/>
      <c r="E104" s="100"/>
      <c r="F104" s="89"/>
      <c r="G104" s="100"/>
      <c r="H104" s="100"/>
      <c r="I104" s="100"/>
      <c r="J104" s="100"/>
      <c r="K104" s="284"/>
      <c r="L104" s="175"/>
      <c r="M104" s="252" t="s">
        <v>533</v>
      </c>
      <c r="N104" s="80"/>
      <c r="O104" s="274"/>
      <c r="P104" s="81"/>
      <c r="Q104" s="78"/>
      <c r="R104" s="265"/>
      <c r="S104" s="285"/>
      <c r="T104" s="235"/>
    </row>
    <row r="105" spans="1:20" s="264" customFormat="1" ht="10.199999999999999" x14ac:dyDescent="0.2">
      <c r="A105" s="89">
        <f>A99+1</f>
        <v>17</v>
      </c>
      <c r="B105" s="70">
        <v>43657</v>
      </c>
      <c r="C105" s="70">
        <v>45483</v>
      </c>
      <c r="D105" s="110" t="s">
        <v>177</v>
      </c>
      <c r="E105" s="58" t="s">
        <v>507</v>
      </c>
      <c r="F105" s="89" t="s">
        <v>299</v>
      </c>
      <c r="G105" s="110" t="s">
        <v>322</v>
      </c>
      <c r="H105" s="110" t="s">
        <v>320</v>
      </c>
      <c r="I105" s="110" t="s">
        <v>321</v>
      </c>
      <c r="J105" s="117">
        <v>432.2</v>
      </c>
      <c r="K105" s="111">
        <f>S105*6</f>
        <v>108292.03199999998</v>
      </c>
      <c r="L105" s="111">
        <f>S105*3</f>
        <v>54146.015999999989</v>
      </c>
      <c r="M105" s="49" t="s">
        <v>10</v>
      </c>
      <c r="N105" s="79" t="s">
        <v>457</v>
      </c>
      <c r="O105" s="60"/>
      <c r="P105" s="117" t="s">
        <v>322</v>
      </c>
      <c r="Q105" s="124"/>
      <c r="R105" s="265"/>
      <c r="S105" s="94">
        <f>14.5*J105*1.2*(1+0.1+0.9)*1.2</f>
        <v>18048.671999999995</v>
      </c>
      <c r="T105" s="235"/>
    </row>
    <row r="106" spans="1:20" s="264" customFormat="1" ht="20.399999999999999" x14ac:dyDescent="0.2">
      <c r="A106" s="89"/>
      <c r="B106" s="92"/>
      <c r="C106" s="92"/>
      <c r="D106" s="92"/>
      <c r="E106" s="96"/>
      <c r="F106" s="89"/>
      <c r="G106" s="92"/>
      <c r="H106" s="92"/>
      <c r="I106" s="92"/>
      <c r="J106" s="92"/>
      <c r="K106" s="175"/>
      <c r="L106" s="175"/>
      <c r="M106" s="49" t="s">
        <v>11</v>
      </c>
      <c r="N106" s="61"/>
      <c r="O106" s="62"/>
      <c r="P106" s="98"/>
      <c r="Q106" s="92"/>
      <c r="R106" s="265"/>
      <c r="S106" s="94"/>
      <c r="T106" s="235"/>
    </row>
    <row r="107" spans="1:20" s="264" customFormat="1" ht="10.199999999999999" x14ac:dyDescent="0.2">
      <c r="A107" s="89"/>
      <c r="B107" s="92"/>
      <c r="C107" s="92"/>
      <c r="D107" s="92"/>
      <c r="E107" s="96"/>
      <c r="F107" s="89"/>
      <c r="G107" s="92"/>
      <c r="H107" s="92"/>
      <c r="I107" s="92"/>
      <c r="J107" s="92"/>
      <c r="K107" s="175"/>
      <c r="L107" s="175"/>
      <c r="M107" s="49" t="s">
        <v>12</v>
      </c>
      <c r="N107" s="61"/>
      <c r="O107" s="62"/>
      <c r="P107" s="98"/>
      <c r="Q107" s="92"/>
      <c r="R107" s="265"/>
      <c r="S107" s="94"/>
      <c r="T107" s="235"/>
    </row>
    <row r="108" spans="1:20" s="264" customFormat="1" ht="10.199999999999999" x14ac:dyDescent="0.2">
      <c r="A108" s="89"/>
      <c r="B108" s="92"/>
      <c r="C108" s="92"/>
      <c r="D108" s="92"/>
      <c r="E108" s="96"/>
      <c r="F108" s="89"/>
      <c r="G108" s="92"/>
      <c r="H108" s="92"/>
      <c r="I108" s="92"/>
      <c r="J108" s="92"/>
      <c r="K108" s="175"/>
      <c r="L108" s="175"/>
      <c r="M108" s="49" t="s">
        <v>13</v>
      </c>
      <c r="N108" s="61"/>
      <c r="O108" s="62"/>
      <c r="P108" s="98"/>
      <c r="Q108" s="92"/>
      <c r="R108" s="265"/>
      <c r="S108" s="94"/>
      <c r="T108" s="235"/>
    </row>
    <row r="109" spans="1:20" s="264" customFormat="1" ht="10.199999999999999" x14ac:dyDescent="0.2">
      <c r="A109" s="89"/>
      <c r="B109" s="92"/>
      <c r="C109" s="92"/>
      <c r="D109" s="92"/>
      <c r="E109" s="96"/>
      <c r="F109" s="89"/>
      <c r="G109" s="92"/>
      <c r="H109" s="92"/>
      <c r="I109" s="92"/>
      <c r="J109" s="92"/>
      <c r="K109" s="175"/>
      <c r="L109" s="175"/>
      <c r="M109" s="49" t="s">
        <v>14</v>
      </c>
      <c r="N109" s="61"/>
      <c r="O109" s="62"/>
      <c r="P109" s="98"/>
      <c r="Q109" s="92"/>
      <c r="R109" s="265"/>
      <c r="S109" s="94"/>
      <c r="T109" s="235"/>
    </row>
    <row r="110" spans="1:20" s="264" customFormat="1" ht="10.199999999999999" x14ac:dyDescent="0.2">
      <c r="A110" s="89"/>
      <c r="B110" s="78"/>
      <c r="C110" s="78"/>
      <c r="D110" s="78"/>
      <c r="E110" s="97"/>
      <c r="F110" s="89"/>
      <c r="G110" s="78"/>
      <c r="H110" s="78"/>
      <c r="I110" s="78"/>
      <c r="J110" s="78"/>
      <c r="K110" s="175"/>
      <c r="L110" s="175"/>
      <c r="M110" s="252" t="s">
        <v>533</v>
      </c>
      <c r="N110" s="89" t="s">
        <v>485</v>
      </c>
      <c r="O110" s="89"/>
      <c r="P110" s="99"/>
      <c r="Q110" s="78"/>
      <c r="R110" s="265"/>
      <c r="S110" s="94"/>
      <c r="T110" s="235"/>
    </row>
    <row r="111" spans="1:20" s="269" customFormat="1" ht="10.199999999999999" x14ac:dyDescent="0.2">
      <c r="A111" s="148">
        <f>A105+1</f>
        <v>18</v>
      </c>
      <c r="B111" s="105">
        <v>44558</v>
      </c>
      <c r="C111" s="105">
        <v>46383</v>
      </c>
      <c r="D111" s="101" t="s">
        <v>324</v>
      </c>
      <c r="E111" s="101" t="s">
        <v>441</v>
      </c>
      <c r="F111" s="148" t="s">
        <v>299</v>
      </c>
      <c r="G111" s="101" t="s">
        <v>325</v>
      </c>
      <c r="H111" s="101" t="s">
        <v>323</v>
      </c>
      <c r="I111" s="101" t="s">
        <v>31</v>
      </c>
      <c r="J111" s="112">
        <v>850.4</v>
      </c>
      <c r="K111" s="266">
        <f>S111*6</f>
        <v>330268.14720000001</v>
      </c>
      <c r="L111" s="266">
        <f>S111*3</f>
        <v>165134.0736</v>
      </c>
      <c r="M111" s="17" t="s">
        <v>10</v>
      </c>
      <c r="N111" s="108" t="s">
        <v>457</v>
      </c>
      <c r="O111" s="73"/>
      <c r="P111" s="112" t="s">
        <v>325</v>
      </c>
      <c r="Q111" s="149"/>
      <c r="R111" s="267"/>
      <c r="S111" s="257">
        <f>14.5*J111*1.2*(1+1.2+0.9)*1.2</f>
        <v>55044.691200000001</v>
      </c>
      <c r="T111" s="268"/>
    </row>
    <row r="112" spans="1:20" s="269" customFormat="1" ht="20.399999999999999" x14ac:dyDescent="0.2">
      <c r="A112" s="148"/>
      <c r="B112" s="106"/>
      <c r="C112" s="106"/>
      <c r="D112" s="106"/>
      <c r="E112" s="106"/>
      <c r="F112" s="148"/>
      <c r="G112" s="106"/>
      <c r="H112" s="106"/>
      <c r="I112" s="106"/>
      <c r="J112" s="106"/>
      <c r="K112" s="204"/>
      <c r="L112" s="204"/>
      <c r="M112" s="17" t="s">
        <v>11</v>
      </c>
      <c r="N112" s="74"/>
      <c r="O112" s="75"/>
      <c r="P112" s="150"/>
      <c r="Q112" s="106"/>
      <c r="R112" s="267"/>
      <c r="S112" s="257"/>
      <c r="T112" s="268"/>
    </row>
    <row r="113" spans="1:20" s="269" customFormat="1" ht="10.199999999999999" x14ac:dyDescent="0.2">
      <c r="A113" s="148"/>
      <c r="B113" s="106"/>
      <c r="C113" s="106"/>
      <c r="D113" s="106"/>
      <c r="E113" s="106"/>
      <c r="F113" s="148"/>
      <c r="G113" s="106"/>
      <c r="H113" s="106"/>
      <c r="I113" s="106"/>
      <c r="J113" s="106"/>
      <c r="K113" s="204"/>
      <c r="L113" s="204"/>
      <c r="M113" s="17" t="s">
        <v>12</v>
      </c>
      <c r="N113" s="74"/>
      <c r="O113" s="75"/>
      <c r="P113" s="150"/>
      <c r="Q113" s="106"/>
      <c r="R113" s="267"/>
      <c r="S113" s="257"/>
      <c r="T113" s="268"/>
    </row>
    <row r="114" spans="1:20" s="269" customFormat="1" ht="10.199999999999999" x14ac:dyDescent="0.2">
      <c r="A114" s="148"/>
      <c r="B114" s="106"/>
      <c r="C114" s="106"/>
      <c r="D114" s="106"/>
      <c r="E114" s="106"/>
      <c r="F114" s="148"/>
      <c r="G114" s="106"/>
      <c r="H114" s="106"/>
      <c r="I114" s="106"/>
      <c r="J114" s="106"/>
      <c r="K114" s="204"/>
      <c r="L114" s="204"/>
      <c r="M114" s="17" t="s">
        <v>13</v>
      </c>
      <c r="N114" s="74"/>
      <c r="O114" s="75"/>
      <c r="P114" s="150"/>
      <c r="Q114" s="106"/>
      <c r="R114" s="267"/>
      <c r="S114" s="257"/>
      <c r="T114" s="268"/>
    </row>
    <row r="115" spans="1:20" s="269" customFormat="1" ht="10.199999999999999" x14ac:dyDescent="0.2">
      <c r="A115" s="148"/>
      <c r="B115" s="106"/>
      <c r="C115" s="106"/>
      <c r="D115" s="106"/>
      <c r="E115" s="106"/>
      <c r="F115" s="148"/>
      <c r="G115" s="106"/>
      <c r="H115" s="106"/>
      <c r="I115" s="106"/>
      <c r="J115" s="106"/>
      <c r="K115" s="204"/>
      <c r="L115" s="204"/>
      <c r="M115" s="17" t="s">
        <v>14</v>
      </c>
      <c r="N115" s="74"/>
      <c r="O115" s="75"/>
      <c r="P115" s="150"/>
      <c r="Q115" s="106"/>
      <c r="R115" s="267"/>
      <c r="S115" s="257"/>
      <c r="T115" s="268"/>
    </row>
    <row r="116" spans="1:20" s="269" customFormat="1" ht="10.199999999999999" x14ac:dyDescent="0.2">
      <c r="A116" s="148"/>
      <c r="B116" s="107"/>
      <c r="C116" s="107"/>
      <c r="D116" s="107"/>
      <c r="E116" s="107"/>
      <c r="F116" s="148"/>
      <c r="G116" s="107"/>
      <c r="H116" s="107"/>
      <c r="I116" s="107"/>
      <c r="J116" s="107"/>
      <c r="K116" s="204"/>
      <c r="L116" s="204"/>
      <c r="M116" s="261" t="s">
        <v>533</v>
      </c>
      <c r="N116" s="148" t="s">
        <v>485</v>
      </c>
      <c r="O116" s="148"/>
      <c r="P116" s="151"/>
      <c r="Q116" s="107"/>
      <c r="R116" s="267"/>
      <c r="S116" s="257"/>
      <c r="T116" s="268"/>
    </row>
    <row r="117" spans="1:20" s="264" customFormat="1" ht="10.199999999999999" x14ac:dyDescent="0.2">
      <c r="A117" s="90">
        <f>A111+1</f>
        <v>19</v>
      </c>
      <c r="B117" s="70">
        <v>44281</v>
      </c>
      <c r="C117" s="70" t="s">
        <v>122</v>
      </c>
      <c r="D117" s="110" t="s">
        <v>193</v>
      </c>
      <c r="E117" s="110" t="s">
        <v>441</v>
      </c>
      <c r="F117" s="90" t="s">
        <v>299</v>
      </c>
      <c r="G117" s="110" t="s">
        <v>194</v>
      </c>
      <c r="H117" s="110" t="s">
        <v>326</v>
      </c>
      <c r="I117" s="110" t="s">
        <v>195</v>
      </c>
      <c r="J117" s="117">
        <v>28.7</v>
      </c>
      <c r="K117" s="173">
        <f>S117*6</f>
        <v>225.28876402223347</v>
      </c>
      <c r="L117" s="115">
        <f>S117*3</f>
        <v>112.64438201111673</v>
      </c>
      <c r="M117" s="15" t="s">
        <v>10</v>
      </c>
      <c r="N117" s="173" t="s">
        <v>465</v>
      </c>
      <c r="O117" s="272"/>
      <c r="P117" s="60"/>
      <c r="Q117" s="145"/>
      <c r="R117" s="265"/>
      <c r="S117" s="94">
        <f>14.5*J117*1*(1+1.2+0.9)*1.2*12/1979*4</f>
        <v>37.548127337038913</v>
      </c>
      <c r="T117" s="235"/>
    </row>
    <row r="118" spans="1:20" s="264" customFormat="1" ht="20.399999999999999" x14ac:dyDescent="0.2">
      <c r="A118" s="90"/>
      <c r="B118" s="146"/>
      <c r="C118" s="146"/>
      <c r="D118" s="146"/>
      <c r="E118" s="146"/>
      <c r="F118" s="90"/>
      <c r="G118" s="146"/>
      <c r="H118" s="146"/>
      <c r="I118" s="146"/>
      <c r="J118" s="146"/>
      <c r="K118" s="286"/>
      <c r="L118" s="287"/>
      <c r="M118" s="15" t="s">
        <v>11</v>
      </c>
      <c r="N118" s="61"/>
      <c r="O118" s="273"/>
      <c r="P118" s="62"/>
      <c r="Q118" s="146"/>
      <c r="R118" s="265"/>
      <c r="S118" s="94"/>
      <c r="T118" s="235"/>
    </row>
    <row r="119" spans="1:20" s="264" customFormat="1" ht="10.199999999999999" x14ac:dyDescent="0.2">
      <c r="A119" s="90"/>
      <c r="B119" s="146"/>
      <c r="C119" s="146"/>
      <c r="D119" s="146"/>
      <c r="E119" s="146"/>
      <c r="F119" s="90"/>
      <c r="G119" s="146"/>
      <c r="H119" s="146"/>
      <c r="I119" s="146"/>
      <c r="J119" s="146"/>
      <c r="K119" s="286"/>
      <c r="L119" s="287"/>
      <c r="M119" s="15" t="s">
        <v>12</v>
      </c>
      <c r="N119" s="61"/>
      <c r="O119" s="273"/>
      <c r="P119" s="62"/>
      <c r="Q119" s="146"/>
      <c r="R119" s="265"/>
      <c r="S119" s="94"/>
      <c r="T119" s="235"/>
    </row>
    <row r="120" spans="1:20" s="264" customFormat="1" ht="10.199999999999999" x14ac:dyDescent="0.2">
      <c r="A120" s="90"/>
      <c r="B120" s="146"/>
      <c r="C120" s="146"/>
      <c r="D120" s="146"/>
      <c r="E120" s="146"/>
      <c r="F120" s="90"/>
      <c r="G120" s="146"/>
      <c r="H120" s="146"/>
      <c r="I120" s="146"/>
      <c r="J120" s="146"/>
      <c r="K120" s="286"/>
      <c r="L120" s="287"/>
      <c r="M120" s="15" t="s">
        <v>13</v>
      </c>
      <c r="N120" s="61"/>
      <c r="O120" s="273"/>
      <c r="P120" s="62"/>
      <c r="Q120" s="146"/>
      <c r="R120" s="265"/>
      <c r="S120" s="94"/>
      <c r="T120" s="235"/>
    </row>
    <row r="121" spans="1:20" s="264" customFormat="1" ht="10.199999999999999" x14ac:dyDescent="0.2">
      <c r="A121" s="90"/>
      <c r="B121" s="146"/>
      <c r="C121" s="146"/>
      <c r="D121" s="146"/>
      <c r="E121" s="146"/>
      <c r="F121" s="110"/>
      <c r="G121" s="146"/>
      <c r="H121" s="146"/>
      <c r="I121" s="146"/>
      <c r="J121" s="146"/>
      <c r="K121" s="286"/>
      <c r="L121" s="288"/>
      <c r="M121" s="15" t="s">
        <v>14</v>
      </c>
      <c r="N121" s="61"/>
      <c r="O121" s="273"/>
      <c r="P121" s="62"/>
      <c r="Q121" s="146"/>
      <c r="R121" s="265"/>
      <c r="S121" s="94"/>
      <c r="T121" s="235"/>
    </row>
    <row r="122" spans="1:20" s="264" customFormat="1" ht="10.199999999999999" x14ac:dyDescent="0.2">
      <c r="A122" s="90"/>
      <c r="B122" s="146"/>
      <c r="C122" s="146"/>
      <c r="D122" s="146"/>
      <c r="E122" s="147"/>
      <c r="F122" s="110"/>
      <c r="G122" s="146"/>
      <c r="H122" s="146"/>
      <c r="I122" s="146"/>
      <c r="J122" s="146"/>
      <c r="K122" s="286"/>
      <c r="L122" s="288"/>
      <c r="M122" s="252" t="s">
        <v>533</v>
      </c>
      <c r="N122" s="115" t="s">
        <v>485</v>
      </c>
      <c r="O122" s="89"/>
      <c r="P122" s="89"/>
      <c r="Q122" s="147"/>
      <c r="R122" s="265"/>
      <c r="S122" s="94"/>
      <c r="T122" s="235"/>
    </row>
    <row r="123" spans="1:20" s="264" customFormat="1" ht="10.199999999999999" x14ac:dyDescent="0.2">
      <c r="A123" s="89">
        <f>A117+1</f>
        <v>20</v>
      </c>
      <c r="B123" s="88">
        <v>44292</v>
      </c>
      <c r="C123" s="88" t="s">
        <v>122</v>
      </c>
      <c r="D123" s="89" t="s">
        <v>196</v>
      </c>
      <c r="E123" s="58" t="s">
        <v>441</v>
      </c>
      <c r="F123" s="89" t="s">
        <v>299</v>
      </c>
      <c r="G123" s="90" t="s">
        <v>197</v>
      </c>
      <c r="H123" s="90" t="s">
        <v>470</v>
      </c>
      <c r="I123" s="90" t="s">
        <v>198</v>
      </c>
      <c r="J123" s="115">
        <v>66.599999999999994</v>
      </c>
      <c r="K123" s="173">
        <f>S123*6</f>
        <v>392.09664679130873</v>
      </c>
      <c r="L123" s="111">
        <f>S123*3</f>
        <v>196.04832339565436</v>
      </c>
      <c r="M123" s="49" t="s">
        <v>10</v>
      </c>
      <c r="N123" s="173" t="s">
        <v>465</v>
      </c>
      <c r="O123" s="272"/>
      <c r="P123" s="60"/>
      <c r="Q123" s="124"/>
      <c r="R123" s="265"/>
      <c r="S123" s="94">
        <f>14.5*J123*1*(1+1.2+0.9)*1.2*12/1979*3</f>
        <v>65.349441131884788</v>
      </c>
      <c r="T123" s="235"/>
    </row>
    <row r="124" spans="1:20" s="264" customFormat="1" ht="20.399999999999999" x14ac:dyDescent="0.2">
      <c r="A124" s="89"/>
      <c r="B124" s="100"/>
      <c r="C124" s="100"/>
      <c r="D124" s="100"/>
      <c r="E124" s="92"/>
      <c r="F124" s="89"/>
      <c r="G124" s="100"/>
      <c r="H124" s="100"/>
      <c r="I124" s="100"/>
      <c r="J124" s="100"/>
      <c r="K124" s="286"/>
      <c r="L124" s="175"/>
      <c r="M124" s="49" t="s">
        <v>11</v>
      </c>
      <c r="N124" s="61"/>
      <c r="O124" s="273"/>
      <c r="P124" s="62"/>
      <c r="Q124" s="92"/>
      <c r="R124" s="265"/>
      <c r="S124" s="94"/>
      <c r="T124" s="235"/>
    </row>
    <row r="125" spans="1:20" s="264" customFormat="1" ht="10.199999999999999" x14ac:dyDescent="0.2">
      <c r="A125" s="89"/>
      <c r="B125" s="100"/>
      <c r="C125" s="100"/>
      <c r="D125" s="100"/>
      <c r="E125" s="92"/>
      <c r="F125" s="89"/>
      <c r="G125" s="100"/>
      <c r="H125" s="100"/>
      <c r="I125" s="100"/>
      <c r="J125" s="100"/>
      <c r="K125" s="286"/>
      <c r="L125" s="175"/>
      <c r="M125" s="49" t="s">
        <v>12</v>
      </c>
      <c r="N125" s="61"/>
      <c r="O125" s="273"/>
      <c r="P125" s="62"/>
      <c r="Q125" s="92"/>
      <c r="R125" s="265"/>
      <c r="S125" s="94"/>
      <c r="T125" s="235"/>
    </row>
    <row r="126" spans="1:20" s="264" customFormat="1" ht="10.199999999999999" x14ac:dyDescent="0.2">
      <c r="A126" s="89"/>
      <c r="B126" s="100"/>
      <c r="C126" s="100"/>
      <c r="D126" s="100"/>
      <c r="E126" s="92"/>
      <c r="F126" s="89"/>
      <c r="G126" s="100"/>
      <c r="H126" s="100"/>
      <c r="I126" s="100"/>
      <c r="J126" s="100"/>
      <c r="K126" s="286"/>
      <c r="L126" s="175"/>
      <c r="M126" s="49" t="s">
        <v>13</v>
      </c>
      <c r="N126" s="61"/>
      <c r="O126" s="273"/>
      <c r="P126" s="62"/>
      <c r="Q126" s="92"/>
      <c r="R126" s="265"/>
      <c r="S126" s="94"/>
      <c r="T126" s="235"/>
    </row>
    <row r="127" spans="1:20" s="264" customFormat="1" ht="10.199999999999999" x14ac:dyDescent="0.2">
      <c r="A127" s="89"/>
      <c r="B127" s="100"/>
      <c r="C127" s="100"/>
      <c r="D127" s="100"/>
      <c r="E127" s="92"/>
      <c r="F127" s="89"/>
      <c r="G127" s="100"/>
      <c r="H127" s="100"/>
      <c r="I127" s="100"/>
      <c r="J127" s="100"/>
      <c r="K127" s="286"/>
      <c r="L127" s="175"/>
      <c r="M127" s="49" t="s">
        <v>14</v>
      </c>
      <c r="N127" s="61"/>
      <c r="O127" s="273"/>
      <c r="P127" s="62"/>
      <c r="Q127" s="92"/>
      <c r="R127" s="265"/>
      <c r="S127" s="94"/>
      <c r="T127" s="235"/>
    </row>
    <row r="128" spans="1:20" s="264" customFormat="1" ht="10.199999999999999" x14ac:dyDescent="0.2">
      <c r="A128" s="89"/>
      <c r="B128" s="100"/>
      <c r="C128" s="100"/>
      <c r="D128" s="100"/>
      <c r="E128" s="78"/>
      <c r="F128" s="89"/>
      <c r="G128" s="100"/>
      <c r="H128" s="100"/>
      <c r="I128" s="100"/>
      <c r="J128" s="100"/>
      <c r="K128" s="286"/>
      <c r="L128" s="175"/>
      <c r="M128" s="252"/>
      <c r="N128" s="115" t="s">
        <v>485</v>
      </c>
      <c r="O128" s="89"/>
      <c r="P128" s="89"/>
      <c r="Q128" s="78"/>
      <c r="R128" s="265"/>
      <c r="S128" s="94"/>
      <c r="T128" s="235"/>
    </row>
    <row r="129" spans="1:20" s="264" customFormat="1" ht="10.199999999999999" x14ac:dyDescent="0.2">
      <c r="A129" s="89">
        <f>A123+1</f>
        <v>21</v>
      </c>
      <c r="B129" s="88">
        <v>44287</v>
      </c>
      <c r="C129" s="88" t="s">
        <v>122</v>
      </c>
      <c r="D129" s="89" t="s">
        <v>199</v>
      </c>
      <c r="E129" s="58" t="s">
        <v>441</v>
      </c>
      <c r="F129" s="89" t="s">
        <v>299</v>
      </c>
      <c r="G129" s="90" t="s">
        <v>200</v>
      </c>
      <c r="H129" s="90" t="s">
        <v>327</v>
      </c>
      <c r="I129" s="110" t="s">
        <v>201</v>
      </c>
      <c r="J129" s="117">
        <v>28.7</v>
      </c>
      <c r="K129" s="111">
        <f>S129*6</f>
        <v>56.322191005558366</v>
      </c>
      <c r="L129" s="111">
        <f>S129*3</f>
        <v>28.161095502779183</v>
      </c>
      <c r="M129" s="49" t="s">
        <v>10</v>
      </c>
      <c r="N129" s="173" t="s">
        <v>465</v>
      </c>
      <c r="O129" s="272"/>
      <c r="P129" s="60"/>
      <c r="Q129" s="124"/>
      <c r="R129" s="265"/>
      <c r="S129" s="94">
        <f>14.5*J129/3*1*(1+1.2+0.9)*1.2*12/1979*3</f>
        <v>9.3870318342597283</v>
      </c>
      <c r="T129" s="235"/>
    </row>
    <row r="130" spans="1:20" s="264" customFormat="1" ht="20.399999999999999" x14ac:dyDescent="0.2">
      <c r="A130" s="89"/>
      <c r="B130" s="100"/>
      <c r="C130" s="100"/>
      <c r="D130" s="100"/>
      <c r="E130" s="92"/>
      <c r="F130" s="89"/>
      <c r="G130" s="100"/>
      <c r="H130" s="100"/>
      <c r="I130" s="92"/>
      <c r="J130" s="92"/>
      <c r="K130" s="175"/>
      <c r="L130" s="175"/>
      <c r="M130" s="49" t="s">
        <v>11</v>
      </c>
      <c r="N130" s="61"/>
      <c r="O130" s="273"/>
      <c r="P130" s="62"/>
      <c r="Q130" s="92"/>
      <c r="R130" s="265"/>
      <c r="S130" s="94"/>
      <c r="T130" s="235"/>
    </row>
    <row r="131" spans="1:20" s="264" customFormat="1" ht="10.199999999999999" x14ac:dyDescent="0.2">
      <c r="A131" s="89"/>
      <c r="B131" s="100"/>
      <c r="C131" s="100"/>
      <c r="D131" s="100"/>
      <c r="E131" s="92"/>
      <c r="F131" s="89"/>
      <c r="G131" s="100"/>
      <c r="H131" s="100"/>
      <c r="I131" s="92"/>
      <c r="J131" s="92"/>
      <c r="K131" s="175"/>
      <c r="L131" s="175"/>
      <c r="M131" s="49" t="s">
        <v>12</v>
      </c>
      <c r="N131" s="61"/>
      <c r="O131" s="273"/>
      <c r="P131" s="62"/>
      <c r="Q131" s="92"/>
      <c r="R131" s="265"/>
      <c r="S131" s="94"/>
      <c r="T131" s="235"/>
    </row>
    <row r="132" spans="1:20" s="264" customFormat="1" ht="10.199999999999999" x14ac:dyDescent="0.2">
      <c r="A132" s="89"/>
      <c r="B132" s="100"/>
      <c r="C132" s="100"/>
      <c r="D132" s="100"/>
      <c r="E132" s="92"/>
      <c r="F132" s="89"/>
      <c r="G132" s="100"/>
      <c r="H132" s="100"/>
      <c r="I132" s="92"/>
      <c r="J132" s="92"/>
      <c r="K132" s="175"/>
      <c r="L132" s="175"/>
      <c r="M132" s="49" t="s">
        <v>13</v>
      </c>
      <c r="N132" s="61"/>
      <c r="O132" s="273"/>
      <c r="P132" s="62"/>
      <c r="Q132" s="92"/>
      <c r="R132" s="265"/>
      <c r="S132" s="94"/>
      <c r="T132" s="235"/>
    </row>
    <row r="133" spans="1:20" s="264" customFormat="1" ht="10.199999999999999" x14ac:dyDescent="0.2">
      <c r="A133" s="89"/>
      <c r="B133" s="100"/>
      <c r="C133" s="100"/>
      <c r="D133" s="100"/>
      <c r="E133" s="92"/>
      <c r="F133" s="89"/>
      <c r="G133" s="100"/>
      <c r="H133" s="100"/>
      <c r="I133" s="92"/>
      <c r="J133" s="92"/>
      <c r="K133" s="175"/>
      <c r="L133" s="175"/>
      <c r="M133" s="49" t="s">
        <v>14</v>
      </c>
      <c r="N133" s="61"/>
      <c r="O133" s="273"/>
      <c r="P133" s="62"/>
      <c r="Q133" s="92"/>
      <c r="R133" s="265"/>
      <c r="S133" s="94"/>
      <c r="T133" s="235"/>
    </row>
    <row r="134" spans="1:20" s="264" customFormat="1" ht="10.199999999999999" x14ac:dyDescent="0.2">
      <c r="A134" s="89"/>
      <c r="B134" s="100"/>
      <c r="C134" s="100"/>
      <c r="D134" s="100"/>
      <c r="E134" s="78"/>
      <c r="F134" s="89"/>
      <c r="G134" s="100"/>
      <c r="H134" s="100"/>
      <c r="I134" s="289"/>
      <c r="J134" s="78"/>
      <c r="K134" s="175"/>
      <c r="L134" s="175"/>
      <c r="M134" s="252" t="s">
        <v>533</v>
      </c>
      <c r="N134" s="115" t="s">
        <v>485</v>
      </c>
      <c r="O134" s="89"/>
      <c r="P134" s="89"/>
      <c r="Q134" s="78"/>
      <c r="R134" s="265"/>
      <c r="S134" s="94"/>
      <c r="T134" s="235"/>
    </row>
    <row r="135" spans="1:20" s="264" customFormat="1" ht="10.199999999999999" x14ac:dyDescent="0.2">
      <c r="A135" s="89">
        <f>A129+1</f>
        <v>22</v>
      </c>
      <c r="B135" s="88">
        <v>44342</v>
      </c>
      <c r="C135" s="88" t="s">
        <v>122</v>
      </c>
      <c r="D135" s="89" t="s">
        <v>202</v>
      </c>
      <c r="E135" s="58" t="s">
        <v>441</v>
      </c>
      <c r="F135" s="89" t="s">
        <v>299</v>
      </c>
      <c r="G135" s="90" t="s">
        <v>203</v>
      </c>
      <c r="H135" s="90" t="s">
        <v>328</v>
      </c>
      <c r="I135" s="90" t="s">
        <v>204</v>
      </c>
      <c r="J135" s="115">
        <v>28.7</v>
      </c>
      <c r="K135" s="111">
        <f>S135*6</f>
        <v>74.718696832579198</v>
      </c>
      <c r="L135" s="111">
        <f>S135*3</f>
        <v>37.359348416289599</v>
      </c>
      <c r="M135" s="49" t="s">
        <v>10</v>
      </c>
      <c r="N135" s="173" t="s">
        <v>465</v>
      </c>
      <c r="O135" s="272"/>
      <c r="P135" s="60"/>
      <c r="Q135" s="124"/>
      <c r="R135" s="265"/>
      <c r="S135" s="285">
        <f>14.5*J135/3*1*(1+1.2+0.9)*1.2*12/1989*4</f>
        <v>12.4531161387632</v>
      </c>
      <c r="T135" s="235"/>
    </row>
    <row r="136" spans="1:20" s="264" customFormat="1" ht="20.399999999999999" x14ac:dyDescent="0.2">
      <c r="A136" s="89"/>
      <c r="B136" s="100"/>
      <c r="C136" s="100"/>
      <c r="D136" s="100"/>
      <c r="E136" s="92"/>
      <c r="F136" s="89"/>
      <c r="G136" s="100"/>
      <c r="H136" s="100"/>
      <c r="I136" s="100"/>
      <c r="J136" s="100"/>
      <c r="K136" s="175"/>
      <c r="L136" s="175"/>
      <c r="M136" s="49" t="s">
        <v>11</v>
      </c>
      <c r="N136" s="61"/>
      <c r="O136" s="273"/>
      <c r="P136" s="62"/>
      <c r="Q136" s="92"/>
      <c r="R136" s="265"/>
      <c r="S136" s="285"/>
      <c r="T136" s="235"/>
    </row>
    <row r="137" spans="1:20" s="264" customFormat="1" ht="10.199999999999999" x14ac:dyDescent="0.2">
      <c r="A137" s="89"/>
      <c r="B137" s="100"/>
      <c r="C137" s="100"/>
      <c r="D137" s="100"/>
      <c r="E137" s="92"/>
      <c r="F137" s="89"/>
      <c r="G137" s="100"/>
      <c r="H137" s="100"/>
      <c r="I137" s="100"/>
      <c r="J137" s="100"/>
      <c r="K137" s="175"/>
      <c r="L137" s="175"/>
      <c r="M137" s="49" t="s">
        <v>12</v>
      </c>
      <c r="N137" s="61"/>
      <c r="O137" s="273"/>
      <c r="P137" s="62"/>
      <c r="Q137" s="92"/>
      <c r="R137" s="265"/>
      <c r="S137" s="285"/>
      <c r="T137" s="235"/>
    </row>
    <row r="138" spans="1:20" s="264" customFormat="1" ht="10.199999999999999" x14ac:dyDescent="0.2">
      <c r="A138" s="89"/>
      <c r="B138" s="100"/>
      <c r="C138" s="100"/>
      <c r="D138" s="100"/>
      <c r="E138" s="92"/>
      <c r="F138" s="89"/>
      <c r="G138" s="100"/>
      <c r="H138" s="100"/>
      <c r="I138" s="100"/>
      <c r="J138" s="100"/>
      <c r="K138" s="175"/>
      <c r="L138" s="175"/>
      <c r="M138" s="49" t="s">
        <v>13</v>
      </c>
      <c r="N138" s="61"/>
      <c r="O138" s="273"/>
      <c r="P138" s="62"/>
      <c r="Q138" s="92"/>
      <c r="R138" s="265"/>
      <c r="S138" s="285"/>
      <c r="T138" s="235"/>
    </row>
    <row r="139" spans="1:20" s="264" customFormat="1" ht="10.199999999999999" x14ac:dyDescent="0.2">
      <c r="A139" s="89"/>
      <c r="B139" s="100"/>
      <c r="C139" s="100"/>
      <c r="D139" s="100"/>
      <c r="E139" s="92"/>
      <c r="F139" s="89"/>
      <c r="G139" s="100"/>
      <c r="H139" s="100"/>
      <c r="I139" s="100"/>
      <c r="J139" s="100"/>
      <c r="K139" s="175"/>
      <c r="L139" s="175"/>
      <c r="M139" s="49" t="s">
        <v>14</v>
      </c>
      <c r="N139" s="61"/>
      <c r="O139" s="273"/>
      <c r="P139" s="62"/>
      <c r="Q139" s="92"/>
      <c r="R139" s="265"/>
      <c r="S139" s="285"/>
      <c r="T139" s="235"/>
    </row>
    <row r="140" spans="1:20" s="264" customFormat="1" ht="10.199999999999999" x14ac:dyDescent="0.2">
      <c r="A140" s="89"/>
      <c r="B140" s="100"/>
      <c r="C140" s="100"/>
      <c r="D140" s="100"/>
      <c r="E140" s="78"/>
      <c r="F140" s="89"/>
      <c r="G140" s="100"/>
      <c r="H140" s="100"/>
      <c r="I140" s="100"/>
      <c r="J140" s="100"/>
      <c r="K140" s="175"/>
      <c r="L140" s="175"/>
      <c r="M140" s="252" t="s">
        <v>533</v>
      </c>
      <c r="N140" s="115" t="s">
        <v>485</v>
      </c>
      <c r="O140" s="89"/>
      <c r="P140" s="89"/>
      <c r="Q140" s="78"/>
      <c r="R140" s="265"/>
      <c r="S140" s="285"/>
      <c r="T140" s="235"/>
    </row>
    <row r="141" spans="1:20" s="264" customFormat="1" ht="10.199999999999999" x14ac:dyDescent="0.2">
      <c r="A141" s="89">
        <f>A135+1</f>
        <v>23</v>
      </c>
      <c r="B141" s="88">
        <v>44862</v>
      </c>
      <c r="C141" s="88" t="s">
        <v>122</v>
      </c>
      <c r="D141" s="89" t="s">
        <v>563</v>
      </c>
      <c r="E141" s="58" t="s">
        <v>441</v>
      </c>
      <c r="F141" s="89" t="s">
        <v>299</v>
      </c>
      <c r="G141" s="90" t="s">
        <v>564</v>
      </c>
      <c r="H141" s="90" t="s">
        <v>328</v>
      </c>
      <c r="I141" s="90" t="s">
        <v>565</v>
      </c>
      <c r="J141" s="115">
        <v>28.7</v>
      </c>
      <c r="K141" s="111">
        <f>S141*6</f>
        <v>150.19250934815565</v>
      </c>
      <c r="L141" s="111">
        <f>S141*3</f>
        <v>75.096254674077827</v>
      </c>
      <c r="M141" s="49" t="s">
        <v>10</v>
      </c>
      <c r="N141" s="173" t="s">
        <v>465</v>
      </c>
      <c r="O141" s="272"/>
      <c r="P141" s="60"/>
      <c r="Q141" s="124"/>
      <c r="R141" s="265"/>
      <c r="S141" s="285">
        <f>14.5*J141/3*1*(1+1.2+0.9)*1.2*12/1979*8</f>
        <v>25.032084891359276</v>
      </c>
      <c r="T141" s="235"/>
    </row>
    <row r="142" spans="1:20" s="264" customFormat="1" ht="20.399999999999999" x14ac:dyDescent="0.2">
      <c r="A142" s="89"/>
      <c r="B142" s="100"/>
      <c r="C142" s="100"/>
      <c r="D142" s="100"/>
      <c r="E142" s="92"/>
      <c r="F142" s="89"/>
      <c r="G142" s="100"/>
      <c r="H142" s="100"/>
      <c r="I142" s="100"/>
      <c r="J142" s="100"/>
      <c r="K142" s="175"/>
      <c r="L142" s="175"/>
      <c r="M142" s="49" t="s">
        <v>11</v>
      </c>
      <c r="N142" s="61"/>
      <c r="O142" s="273"/>
      <c r="P142" s="62"/>
      <c r="Q142" s="92"/>
      <c r="R142" s="265"/>
      <c r="S142" s="285"/>
      <c r="T142" s="235"/>
    </row>
    <row r="143" spans="1:20" s="264" customFormat="1" ht="10.199999999999999" x14ac:dyDescent="0.2">
      <c r="A143" s="89"/>
      <c r="B143" s="100"/>
      <c r="C143" s="100"/>
      <c r="D143" s="100"/>
      <c r="E143" s="92"/>
      <c r="F143" s="89"/>
      <c r="G143" s="100"/>
      <c r="H143" s="100"/>
      <c r="I143" s="100"/>
      <c r="J143" s="100"/>
      <c r="K143" s="175"/>
      <c r="L143" s="175"/>
      <c r="M143" s="49" t="s">
        <v>12</v>
      </c>
      <c r="N143" s="61"/>
      <c r="O143" s="273"/>
      <c r="P143" s="62"/>
      <c r="Q143" s="92"/>
      <c r="R143" s="265"/>
      <c r="S143" s="285"/>
      <c r="T143" s="235"/>
    </row>
    <row r="144" spans="1:20" s="264" customFormat="1" ht="10.199999999999999" x14ac:dyDescent="0.2">
      <c r="A144" s="89"/>
      <c r="B144" s="100"/>
      <c r="C144" s="100"/>
      <c r="D144" s="100"/>
      <c r="E144" s="92"/>
      <c r="F144" s="89"/>
      <c r="G144" s="100"/>
      <c r="H144" s="100"/>
      <c r="I144" s="100"/>
      <c r="J144" s="100"/>
      <c r="K144" s="175"/>
      <c r="L144" s="175"/>
      <c r="M144" s="49" t="s">
        <v>13</v>
      </c>
      <c r="N144" s="61"/>
      <c r="O144" s="273"/>
      <c r="P144" s="62"/>
      <c r="Q144" s="92"/>
      <c r="R144" s="265"/>
      <c r="S144" s="285"/>
      <c r="T144" s="235"/>
    </row>
    <row r="145" spans="1:20" s="264" customFormat="1" ht="10.199999999999999" x14ac:dyDescent="0.2">
      <c r="A145" s="89"/>
      <c r="B145" s="100"/>
      <c r="C145" s="100"/>
      <c r="D145" s="100"/>
      <c r="E145" s="92"/>
      <c r="F145" s="89"/>
      <c r="G145" s="100"/>
      <c r="H145" s="100"/>
      <c r="I145" s="100"/>
      <c r="J145" s="100"/>
      <c r="K145" s="175"/>
      <c r="L145" s="175"/>
      <c r="M145" s="49" t="s">
        <v>14</v>
      </c>
      <c r="N145" s="61"/>
      <c r="O145" s="273"/>
      <c r="P145" s="62"/>
      <c r="Q145" s="92"/>
      <c r="R145" s="265"/>
      <c r="S145" s="285"/>
      <c r="T145" s="235"/>
    </row>
    <row r="146" spans="1:20" s="264" customFormat="1" ht="10.199999999999999" x14ac:dyDescent="0.2">
      <c r="A146" s="89"/>
      <c r="B146" s="100"/>
      <c r="C146" s="100"/>
      <c r="D146" s="100"/>
      <c r="E146" s="78"/>
      <c r="F146" s="89"/>
      <c r="G146" s="100"/>
      <c r="H146" s="100"/>
      <c r="I146" s="100"/>
      <c r="J146" s="100"/>
      <c r="K146" s="175"/>
      <c r="L146" s="175"/>
      <c r="M146" s="252" t="s">
        <v>533</v>
      </c>
      <c r="N146" s="115" t="s">
        <v>485</v>
      </c>
      <c r="O146" s="89"/>
      <c r="P146" s="89"/>
      <c r="Q146" s="78"/>
      <c r="R146" s="265"/>
      <c r="S146" s="285"/>
      <c r="T146" s="235"/>
    </row>
    <row r="147" spans="1:20" s="264" customFormat="1" ht="10.199999999999999" x14ac:dyDescent="0.2">
      <c r="A147" s="89">
        <f>A141+1</f>
        <v>24</v>
      </c>
      <c r="B147" s="88">
        <v>44342</v>
      </c>
      <c r="C147" s="88" t="s">
        <v>122</v>
      </c>
      <c r="D147" s="89" t="s">
        <v>205</v>
      </c>
      <c r="E147" s="58" t="s">
        <v>441</v>
      </c>
      <c r="F147" s="89" t="s">
        <v>299</v>
      </c>
      <c r="G147" s="90" t="s">
        <v>206</v>
      </c>
      <c r="H147" s="90" t="s">
        <v>530</v>
      </c>
      <c r="I147" s="90" t="s">
        <v>207</v>
      </c>
      <c r="J147" s="115">
        <v>16.7</v>
      </c>
      <c r="K147" s="111">
        <f>S147*6</f>
        <v>131.09137139969681</v>
      </c>
      <c r="L147" s="111">
        <f>S147*3</f>
        <v>65.545685699848406</v>
      </c>
      <c r="M147" s="49" t="s">
        <v>10</v>
      </c>
      <c r="N147" s="173" t="s">
        <v>465</v>
      </c>
      <c r="O147" s="272"/>
      <c r="P147" s="60"/>
      <c r="Q147" s="124"/>
      <c r="R147" s="265"/>
      <c r="S147" s="285">
        <f>14.5*J147*1*(1+1.2+0.9)*1.2*12/1979*4</f>
        <v>21.848561899949466</v>
      </c>
      <c r="T147" s="235"/>
    </row>
    <row r="148" spans="1:20" s="264" customFormat="1" ht="20.399999999999999" x14ac:dyDescent="0.2">
      <c r="A148" s="89"/>
      <c r="B148" s="100"/>
      <c r="C148" s="100"/>
      <c r="D148" s="100"/>
      <c r="E148" s="92"/>
      <c r="F148" s="89"/>
      <c r="G148" s="100"/>
      <c r="H148" s="100"/>
      <c r="I148" s="100"/>
      <c r="J148" s="100"/>
      <c r="K148" s="175"/>
      <c r="L148" s="175"/>
      <c r="M148" s="49" t="s">
        <v>11</v>
      </c>
      <c r="N148" s="61"/>
      <c r="O148" s="273"/>
      <c r="P148" s="62"/>
      <c r="Q148" s="92"/>
      <c r="R148" s="265"/>
      <c r="S148" s="285"/>
      <c r="T148" s="235"/>
    </row>
    <row r="149" spans="1:20" s="264" customFormat="1" ht="10.199999999999999" x14ac:dyDescent="0.2">
      <c r="A149" s="89"/>
      <c r="B149" s="100"/>
      <c r="C149" s="100"/>
      <c r="D149" s="100"/>
      <c r="E149" s="92"/>
      <c r="F149" s="89"/>
      <c r="G149" s="100"/>
      <c r="H149" s="100"/>
      <c r="I149" s="100"/>
      <c r="J149" s="100"/>
      <c r="K149" s="175"/>
      <c r="L149" s="175"/>
      <c r="M149" s="49" t="s">
        <v>12</v>
      </c>
      <c r="N149" s="61"/>
      <c r="O149" s="273"/>
      <c r="P149" s="62"/>
      <c r="Q149" s="92"/>
      <c r="R149" s="265"/>
      <c r="S149" s="285"/>
      <c r="T149" s="235"/>
    </row>
    <row r="150" spans="1:20" s="264" customFormat="1" ht="10.199999999999999" x14ac:dyDescent="0.2">
      <c r="A150" s="89"/>
      <c r="B150" s="100"/>
      <c r="C150" s="100"/>
      <c r="D150" s="100"/>
      <c r="E150" s="92"/>
      <c r="F150" s="89"/>
      <c r="G150" s="100"/>
      <c r="H150" s="100"/>
      <c r="I150" s="100"/>
      <c r="J150" s="100"/>
      <c r="K150" s="175"/>
      <c r="L150" s="175"/>
      <c r="M150" s="49" t="s">
        <v>13</v>
      </c>
      <c r="N150" s="61"/>
      <c r="O150" s="273"/>
      <c r="P150" s="62"/>
      <c r="Q150" s="92"/>
      <c r="R150" s="265"/>
      <c r="S150" s="285"/>
      <c r="T150" s="235"/>
    </row>
    <row r="151" spans="1:20" s="264" customFormat="1" ht="10.199999999999999" x14ac:dyDescent="0.2">
      <c r="A151" s="89"/>
      <c r="B151" s="100"/>
      <c r="C151" s="100"/>
      <c r="D151" s="100"/>
      <c r="E151" s="92"/>
      <c r="F151" s="89"/>
      <c r="G151" s="100"/>
      <c r="H151" s="100"/>
      <c r="I151" s="100"/>
      <c r="J151" s="100"/>
      <c r="K151" s="175"/>
      <c r="L151" s="175"/>
      <c r="M151" s="49" t="s">
        <v>14</v>
      </c>
      <c r="N151" s="61"/>
      <c r="O151" s="273"/>
      <c r="P151" s="62"/>
      <c r="Q151" s="92"/>
      <c r="R151" s="265"/>
      <c r="S151" s="285"/>
      <c r="T151" s="235"/>
    </row>
    <row r="152" spans="1:20" s="264" customFormat="1" ht="10.199999999999999" x14ac:dyDescent="0.2">
      <c r="A152" s="89"/>
      <c r="B152" s="100"/>
      <c r="C152" s="100"/>
      <c r="D152" s="100"/>
      <c r="E152" s="78"/>
      <c r="F152" s="89"/>
      <c r="G152" s="100"/>
      <c r="H152" s="100"/>
      <c r="I152" s="100"/>
      <c r="J152" s="100"/>
      <c r="K152" s="175"/>
      <c r="L152" s="175"/>
      <c r="M152" s="252" t="s">
        <v>533</v>
      </c>
      <c r="N152" s="115" t="s">
        <v>485</v>
      </c>
      <c r="O152" s="89"/>
      <c r="P152" s="89"/>
      <c r="Q152" s="78"/>
      <c r="R152" s="265"/>
      <c r="S152" s="285"/>
      <c r="T152" s="235"/>
    </row>
    <row r="153" spans="1:20" s="264" customFormat="1" ht="10.199999999999999" x14ac:dyDescent="0.2">
      <c r="A153" s="89">
        <f>A147+1</f>
        <v>25</v>
      </c>
      <c r="B153" s="88">
        <v>44342</v>
      </c>
      <c r="C153" s="88" t="s">
        <v>122</v>
      </c>
      <c r="D153" s="89" t="s">
        <v>208</v>
      </c>
      <c r="E153" s="58" t="s">
        <v>441</v>
      </c>
      <c r="F153" s="89" t="s">
        <v>299</v>
      </c>
      <c r="G153" s="90" t="s">
        <v>209</v>
      </c>
      <c r="H153" s="110" t="s">
        <v>449</v>
      </c>
      <c r="I153" s="90" t="s">
        <v>210</v>
      </c>
      <c r="J153" s="115">
        <v>66.599999999999994</v>
      </c>
      <c r="K153" s="111">
        <f>S153*6</f>
        <v>130.69888226376958</v>
      </c>
      <c r="L153" s="111">
        <f>S153*3</f>
        <v>65.349441131884788</v>
      </c>
      <c r="M153" s="49" t="s">
        <v>10</v>
      </c>
      <c r="N153" s="173" t="s">
        <v>465</v>
      </c>
      <c r="O153" s="272"/>
      <c r="P153" s="60"/>
      <c r="Q153" s="124"/>
      <c r="R153" s="265"/>
      <c r="S153" s="285">
        <f>14.5*J153*1*(1+1.2+0.9)*1.2*12/1979*1</f>
        <v>21.783147043961595</v>
      </c>
      <c r="T153" s="235"/>
    </row>
    <row r="154" spans="1:20" s="264" customFormat="1" ht="20.399999999999999" x14ac:dyDescent="0.2">
      <c r="A154" s="89"/>
      <c r="B154" s="100"/>
      <c r="C154" s="100"/>
      <c r="D154" s="100"/>
      <c r="E154" s="92"/>
      <c r="F154" s="89"/>
      <c r="G154" s="100"/>
      <c r="H154" s="92"/>
      <c r="I154" s="100"/>
      <c r="J154" s="100"/>
      <c r="K154" s="175"/>
      <c r="L154" s="175"/>
      <c r="M154" s="49" t="s">
        <v>11</v>
      </c>
      <c r="N154" s="61"/>
      <c r="O154" s="273"/>
      <c r="P154" s="62"/>
      <c r="Q154" s="92"/>
      <c r="R154" s="265"/>
      <c r="S154" s="285"/>
      <c r="T154" s="235"/>
    </row>
    <row r="155" spans="1:20" s="264" customFormat="1" ht="10.199999999999999" x14ac:dyDescent="0.2">
      <c r="A155" s="89"/>
      <c r="B155" s="100"/>
      <c r="C155" s="100"/>
      <c r="D155" s="100"/>
      <c r="E155" s="92"/>
      <c r="F155" s="89"/>
      <c r="G155" s="100"/>
      <c r="H155" s="92"/>
      <c r="I155" s="100"/>
      <c r="J155" s="100"/>
      <c r="K155" s="175"/>
      <c r="L155" s="175"/>
      <c r="M155" s="49" t="s">
        <v>12</v>
      </c>
      <c r="N155" s="61"/>
      <c r="O155" s="273"/>
      <c r="P155" s="62"/>
      <c r="Q155" s="92"/>
      <c r="R155" s="265"/>
      <c r="S155" s="285"/>
      <c r="T155" s="235"/>
    </row>
    <row r="156" spans="1:20" s="264" customFormat="1" ht="10.199999999999999" x14ac:dyDescent="0.2">
      <c r="A156" s="89"/>
      <c r="B156" s="100"/>
      <c r="C156" s="100"/>
      <c r="D156" s="100"/>
      <c r="E156" s="92"/>
      <c r="F156" s="89"/>
      <c r="G156" s="100"/>
      <c r="H156" s="92"/>
      <c r="I156" s="100"/>
      <c r="J156" s="100"/>
      <c r="K156" s="175"/>
      <c r="L156" s="175"/>
      <c r="M156" s="49" t="s">
        <v>13</v>
      </c>
      <c r="N156" s="61"/>
      <c r="O156" s="273"/>
      <c r="P156" s="62"/>
      <c r="Q156" s="92"/>
      <c r="R156" s="265"/>
      <c r="S156" s="285"/>
      <c r="T156" s="235"/>
    </row>
    <row r="157" spans="1:20" s="264" customFormat="1" ht="10.199999999999999" x14ac:dyDescent="0.2">
      <c r="A157" s="89"/>
      <c r="B157" s="100"/>
      <c r="C157" s="100"/>
      <c r="D157" s="100"/>
      <c r="E157" s="92"/>
      <c r="F157" s="89"/>
      <c r="G157" s="100"/>
      <c r="H157" s="92"/>
      <c r="I157" s="100"/>
      <c r="J157" s="100"/>
      <c r="K157" s="175"/>
      <c r="L157" s="175"/>
      <c r="M157" s="49" t="s">
        <v>14</v>
      </c>
      <c r="N157" s="61"/>
      <c r="O157" s="273"/>
      <c r="P157" s="62"/>
      <c r="Q157" s="92"/>
      <c r="R157" s="265"/>
      <c r="S157" s="285"/>
      <c r="T157" s="235"/>
    </row>
    <row r="158" spans="1:20" s="264" customFormat="1" ht="10.199999999999999" x14ac:dyDescent="0.2">
      <c r="A158" s="89"/>
      <c r="B158" s="100"/>
      <c r="C158" s="100"/>
      <c r="D158" s="100"/>
      <c r="E158" s="78"/>
      <c r="F158" s="89"/>
      <c r="G158" s="100"/>
      <c r="H158" s="78"/>
      <c r="I158" s="100"/>
      <c r="J158" s="100"/>
      <c r="K158" s="175"/>
      <c r="L158" s="175"/>
      <c r="M158" s="252" t="s">
        <v>533</v>
      </c>
      <c r="N158" s="115" t="s">
        <v>485</v>
      </c>
      <c r="O158" s="89"/>
      <c r="P158" s="89"/>
      <c r="Q158" s="78"/>
      <c r="R158" s="265"/>
      <c r="S158" s="285"/>
      <c r="T158" s="235"/>
    </row>
    <row r="159" spans="1:20" s="264" customFormat="1" ht="10.199999999999999" x14ac:dyDescent="0.2">
      <c r="A159" s="89">
        <f>A153+1</f>
        <v>26</v>
      </c>
      <c r="B159" s="88">
        <v>44342</v>
      </c>
      <c r="C159" s="88" t="s">
        <v>122</v>
      </c>
      <c r="D159" s="89" t="s">
        <v>211</v>
      </c>
      <c r="E159" s="58" t="s">
        <v>441</v>
      </c>
      <c r="F159" s="89" t="s">
        <v>299</v>
      </c>
      <c r="G159" s="90" t="s">
        <v>212</v>
      </c>
      <c r="H159" s="90" t="s">
        <v>329</v>
      </c>
      <c r="I159" s="90" t="s">
        <v>213</v>
      </c>
      <c r="J159" s="115">
        <v>15.9</v>
      </c>
      <c r="K159" s="111">
        <f>S159*6</f>
        <v>62.405772612430525</v>
      </c>
      <c r="L159" s="111">
        <f>S159*3</f>
        <v>31.202886306215262</v>
      </c>
      <c r="M159" s="49" t="s">
        <v>10</v>
      </c>
      <c r="N159" s="173" t="s">
        <v>465</v>
      </c>
      <c r="O159" s="272"/>
      <c r="P159" s="60"/>
      <c r="Q159" s="124"/>
      <c r="R159" s="265"/>
      <c r="S159" s="285">
        <f>14.5*J159/2*(1+1.2+0.9)*1.2*12/1979*4</f>
        <v>10.400962102071754</v>
      </c>
      <c r="T159" s="235"/>
    </row>
    <row r="160" spans="1:20" s="264" customFormat="1" ht="20.399999999999999" x14ac:dyDescent="0.2">
      <c r="A160" s="89"/>
      <c r="B160" s="100"/>
      <c r="C160" s="100"/>
      <c r="D160" s="100"/>
      <c r="E160" s="92"/>
      <c r="F160" s="89"/>
      <c r="G160" s="90"/>
      <c r="H160" s="100"/>
      <c r="I160" s="100"/>
      <c r="J160" s="100"/>
      <c r="K160" s="175"/>
      <c r="L160" s="175"/>
      <c r="M160" s="49" t="s">
        <v>11</v>
      </c>
      <c r="N160" s="61"/>
      <c r="O160" s="273"/>
      <c r="P160" s="62"/>
      <c r="Q160" s="92"/>
      <c r="R160" s="265"/>
      <c r="S160" s="285"/>
      <c r="T160" s="235"/>
    </row>
    <row r="161" spans="1:20" s="264" customFormat="1" ht="10.199999999999999" x14ac:dyDescent="0.2">
      <c r="A161" s="89"/>
      <c r="B161" s="100"/>
      <c r="C161" s="100"/>
      <c r="D161" s="100"/>
      <c r="E161" s="92"/>
      <c r="F161" s="89"/>
      <c r="G161" s="90"/>
      <c r="H161" s="100"/>
      <c r="I161" s="100"/>
      <c r="J161" s="100"/>
      <c r="K161" s="175"/>
      <c r="L161" s="175"/>
      <c r="M161" s="49" t="s">
        <v>12</v>
      </c>
      <c r="N161" s="61"/>
      <c r="O161" s="273"/>
      <c r="P161" s="62"/>
      <c r="Q161" s="92"/>
      <c r="R161" s="265"/>
      <c r="S161" s="285"/>
      <c r="T161" s="235"/>
    </row>
    <row r="162" spans="1:20" s="264" customFormat="1" ht="10.199999999999999" x14ac:dyDescent="0.2">
      <c r="A162" s="89"/>
      <c r="B162" s="100"/>
      <c r="C162" s="100"/>
      <c r="D162" s="100"/>
      <c r="E162" s="92"/>
      <c r="F162" s="89"/>
      <c r="G162" s="90"/>
      <c r="H162" s="100"/>
      <c r="I162" s="100"/>
      <c r="J162" s="100"/>
      <c r="K162" s="175"/>
      <c r="L162" s="175"/>
      <c r="M162" s="49" t="s">
        <v>13</v>
      </c>
      <c r="N162" s="61"/>
      <c r="O162" s="273"/>
      <c r="P162" s="62"/>
      <c r="Q162" s="92"/>
      <c r="R162" s="265"/>
      <c r="S162" s="285"/>
      <c r="T162" s="235"/>
    </row>
    <row r="163" spans="1:20" s="264" customFormat="1" ht="10.199999999999999" x14ac:dyDescent="0.2">
      <c r="A163" s="89"/>
      <c r="B163" s="100"/>
      <c r="C163" s="100"/>
      <c r="D163" s="100"/>
      <c r="E163" s="92"/>
      <c r="F163" s="89"/>
      <c r="G163" s="90"/>
      <c r="H163" s="100"/>
      <c r="I163" s="100"/>
      <c r="J163" s="100"/>
      <c r="K163" s="175"/>
      <c r="L163" s="175"/>
      <c r="M163" s="49" t="s">
        <v>14</v>
      </c>
      <c r="N163" s="61"/>
      <c r="O163" s="273"/>
      <c r="P163" s="62"/>
      <c r="Q163" s="92"/>
      <c r="R163" s="265"/>
      <c r="S163" s="285"/>
      <c r="T163" s="235"/>
    </row>
    <row r="164" spans="1:20" s="264" customFormat="1" ht="10.199999999999999" x14ac:dyDescent="0.2">
      <c r="A164" s="89"/>
      <c r="B164" s="100"/>
      <c r="C164" s="100"/>
      <c r="D164" s="100"/>
      <c r="E164" s="78"/>
      <c r="F164" s="89"/>
      <c r="G164" s="90"/>
      <c r="H164" s="100"/>
      <c r="I164" s="100"/>
      <c r="J164" s="100"/>
      <c r="K164" s="175"/>
      <c r="L164" s="175"/>
      <c r="M164" s="252" t="s">
        <v>533</v>
      </c>
      <c r="N164" s="115" t="s">
        <v>485</v>
      </c>
      <c r="O164" s="89"/>
      <c r="P164" s="89"/>
      <c r="Q164" s="78"/>
      <c r="R164" s="265"/>
      <c r="S164" s="285"/>
      <c r="T164" s="235"/>
    </row>
    <row r="165" spans="1:20" s="264" customFormat="1" ht="10.199999999999999" x14ac:dyDescent="0.2">
      <c r="A165" s="89">
        <f>A159+1</f>
        <v>27</v>
      </c>
      <c r="B165" s="88">
        <v>44342</v>
      </c>
      <c r="C165" s="88" t="s">
        <v>122</v>
      </c>
      <c r="D165" s="89" t="s">
        <v>214</v>
      </c>
      <c r="E165" s="58" t="s">
        <v>441</v>
      </c>
      <c r="F165" s="89" t="s">
        <v>299</v>
      </c>
      <c r="G165" s="90" t="s">
        <v>215</v>
      </c>
      <c r="H165" s="90" t="s">
        <v>330</v>
      </c>
      <c r="I165" s="90" t="s">
        <v>213</v>
      </c>
      <c r="J165" s="115">
        <v>15.9</v>
      </c>
      <c r="K165" s="111">
        <f>S165*6</f>
        <v>62.405772612430525</v>
      </c>
      <c r="L165" s="111">
        <f>S165*3</f>
        <v>31.202886306215262</v>
      </c>
      <c r="M165" s="49" t="s">
        <v>10</v>
      </c>
      <c r="N165" s="173" t="s">
        <v>465</v>
      </c>
      <c r="O165" s="272"/>
      <c r="P165" s="60"/>
      <c r="Q165" s="124"/>
      <c r="R165" s="265"/>
      <c r="S165" s="285">
        <f>14.5*J165/2*1*(1+1.2+0.9)*1.2*12/1979*4</f>
        <v>10.400962102071754</v>
      </c>
      <c r="T165" s="235"/>
    </row>
    <row r="166" spans="1:20" s="264" customFormat="1" ht="20.399999999999999" x14ac:dyDescent="0.2">
      <c r="A166" s="89"/>
      <c r="B166" s="100"/>
      <c r="C166" s="100"/>
      <c r="D166" s="100"/>
      <c r="E166" s="92"/>
      <c r="F166" s="89"/>
      <c r="G166" s="100"/>
      <c r="H166" s="100"/>
      <c r="I166" s="100"/>
      <c r="J166" s="100"/>
      <c r="K166" s="175"/>
      <c r="L166" s="175"/>
      <c r="M166" s="49" t="s">
        <v>11</v>
      </c>
      <c r="N166" s="61"/>
      <c r="O166" s="273"/>
      <c r="P166" s="62"/>
      <c r="Q166" s="92"/>
      <c r="R166" s="265"/>
      <c r="S166" s="285"/>
      <c r="T166" s="235"/>
    </row>
    <row r="167" spans="1:20" s="264" customFormat="1" ht="10.199999999999999" x14ac:dyDescent="0.2">
      <c r="A167" s="89"/>
      <c r="B167" s="100"/>
      <c r="C167" s="100"/>
      <c r="D167" s="100"/>
      <c r="E167" s="92"/>
      <c r="F167" s="89"/>
      <c r="G167" s="100"/>
      <c r="H167" s="100"/>
      <c r="I167" s="100"/>
      <c r="J167" s="100"/>
      <c r="K167" s="175"/>
      <c r="L167" s="175"/>
      <c r="M167" s="49" t="s">
        <v>12</v>
      </c>
      <c r="N167" s="61"/>
      <c r="O167" s="273"/>
      <c r="P167" s="62"/>
      <c r="Q167" s="92"/>
      <c r="R167" s="265"/>
      <c r="S167" s="285"/>
      <c r="T167" s="235"/>
    </row>
    <row r="168" spans="1:20" s="264" customFormat="1" ht="10.199999999999999" x14ac:dyDescent="0.2">
      <c r="A168" s="89"/>
      <c r="B168" s="100"/>
      <c r="C168" s="100"/>
      <c r="D168" s="100"/>
      <c r="E168" s="92"/>
      <c r="F168" s="89"/>
      <c r="G168" s="100"/>
      <c r="H168" s="100"/>
      <c r="I168" s="100"/>
      <c r="J168" s="100"/>
      <c r="K168" s="175"/>
      <c r="L168" s="175"/>
      <c r="M168" s="49" t="s">
        <v>13</v>
      </c>
      <c r="N168" s="61"/>
      <c r="O168" s="273"/>
      <c r="P168" s="62"/>
      <c r="Q168" s="92"/>
      <c r="R168" s="265"/>
      <c r="S168" s="285"/>
      <c r="T168" s="235"/>
    </row>
    <row r="169" spans="1:20" s="264" customFormat="1" ht="10.199999999999999" x14ac:dyDescent="0.2">
      <c r="A169" s="89"/>
      <c r="B169" s="100"/>
      <c r="C169" s="100"/>
      <c r="D169" s="100"/>
      <c r="E169" s="92"/>
      <c r="F169" s="89"/>
      <c r="G169" s="100"/>
      <c r="H169" s="100"/>
      <c r="I169" s="100"/>
      <c r="J169" s="100"/>
      <c r="K169" s="175"/>
      <c r="L169" s="175"/>
      <c r="M169" s="49" t="s">
        <v>14</v>
      </c>
      <c r="N169" s="61"/>
      <c r="O169" s="273"/>
      <c r="P169" s="62"/>
      <c r="Q169" s="92"/>
      <c r="R169" s="265"/>
      <c r="S169" s="285"/>
      <c r="T169" s="235"/>
    </row>
    <row r="170" spans="1:20" s="264" customFormat="1" ht="10.199999999999999" x14ac:dyDescent="0.2">
      <c r="A170" s="89"/>
      <c r="B170" s="100"/>
      <c r="C170" s="100"/>
      <c r="D170" s="100"/>
      <c r="E170" s="78"/>
      <c r="F170" s="89"/>
      <c r="G170" s="100"/>
      <c r="H170" s="100"/>
      <c r="I170" s="100"/>
      <c r="J170" s="100"/>
      <c r="K170" s="175"/>
      <c r="L170" s="175"/>
      <c r="M170" s="252" t="s">
        <v>533</v>
      </c>
      <c r="N170" s="115" t="s">
        <v>485</v>
      </c>
      <c r="O170" s="89"/>
      <c r="P170" s="89"/>
      <c r="Q170" s="78"/>
      <c r="R170" s="265"/>
      <c r="S170" s="285"/>
      <c r="T170" s="235"/>
    </row>
    <row r="171" spans="1:20" s="264" customFormat="1" ht="10.199999999999999" x14ac:dyDescent="0.2">
      <c r="A171" s="89">
        <f>A165+1</f>
        <v>28</v>
      </c>
      <c r="B171" s="88">
        <v>44341</v>
      </c>
      <c r="C171" s="88" t="s">
        <v>122</v>
      </c>
      <c r="D171" s="89" t="s">
        <v>216</v>
      </c>
      <c r="E171" s="58" t="s">
        <v>441</v>
      </c>
      <c r="F171" s="89" t="s">
        <v>299</v>
      </c>
      <c r="G171" s="90" t="s">
        <v>217</v>
      </c>
      <c r="H171" s="90" t="s">
        <v>331</v>
      </c>
      <c r="I171" s="90" t="s">
        <v>218</v>
      </c>
      <c r="J171" s="115">
        <v>15.9</v>
      </c>
      <c r="K171" s="111">
        <f>S171*6</f>
        <v>124.81154522486105</v>
      </c>
      <c r="L171" s="111">
        <f>S171*3</f>
        <v>62.405772612430525</v>
      </c>
      <c r="M171" s="49" t="s">
        <v>10</v>
      </c>
      <c r="N171" s="173" t="s">
        <v>465</v>
      </c>
      <c r="O171" s="272"/>
      <c r="P171" s="60"/>
      <c r="Q171" s="124"/>
      <c r="R171" s="265"/>
      <c r="S171" s="285">
        <f>14.5*J171/2*1*(1+1.2+0.9)*1.2*12/1979*8</f>
        <v>20.801924204143507</v>
      </c>
      <c r="T171" s="235"/>
    </row>
    <row r="172" spans="1:20" s="264" customFormat="1" ht="20.399999999999999" x14ac:dyDescent="0.2">
      <c r="A172" s="89"/>
      <c r="B172" s="100"/>
      <c r="C172" s="100"/>
      <c r="D172" s="100"/>
      <c r="E172" s="92"/>
      <c r="F172" s="89"/>
      <c r="G172" s="100"/>
      <c r="H172" s="100"/>
      <c r="I172" s="100"/>
      <c r="J172" s="100"/>
      <c r="K172" s="175"/>
      <c r="L172" s="175"/>
      <c r="M172" s="49" t="s">
        <v>11</v>
      </c>
      <c r="N172" s="61"/>
      <c r="O172" s="273"/>
      <c r="P172" s="62"/>
      <c r="Q172" s="92"/>
      <c r="R172" s="265"/>
      <c r="S172" s="285"/>
      <c r="T172" s="235"/>
    </row>
    <row r="173" spans="1:20" s="264" customFormat="1" ht="10.199999999999999" x14ac:dyDescent="0.2">
      <c r="A173" s="89"/>
      <c r="B173" s="100"/>
      <c r="C173" s="100"/>
      <c r="D173" s="100"/>
      <c r="E173" s="92"/>
      <c r="F173" s="89"/>
      <c r="G173" s="100"/>
      <c r="H173" s="100"/>
      <c r="I173" s="100"/>
      <c r="J173" s="100"/>
      <c r="K173" s="175"/>
      <c r="L173" s="175"/>
      <c r="M173" s="49" t="s">
        <v>12</v>
      </c>
      <c r="N173" s="61"/>
      <c r="O173" s="273"/>
      <c r="P173" s="62"/>
      <c r="Q173" s="92"/>
      <c r="R173" s="265"/>
      <c r="S173" s="285"/>
      <c r="T173" s="235"/>
    </row>
    <row r="174" spans="1:20" s="264" customFormat="1" ht="10.199999999999999" x14ac:dyDescent="0.2">
      <c r="A174" s="89"/>
      <c r="B174" s="100"/>
      <c r="C174" s="100"/>
      <c r="D174" s="100"/>
      <c r="E174" s="92"/>
      <c r="F174" s="89"/>
      <c r="G174" s="100"/>
      <c r="H174" s="100"/>
      <c r="I174" s="100"/>
      <c r="J174" s="100"/>
      <c r="K174" s="175"/>
      <c r="L174" s="175"/>
      <c r="M174" s="49" t="s">
        <v>13</v>
      </c>
      <c r="N174" s="61"/>
      <c r="O174" s="273"/>
      <c r="P174" s="62"/>
      <c r="Q174" s="92"/>
      <c r="R174" s="265"/>
      <c r="S174" s="285"/>
      <c r="T174" s="235"/>
    </row>
    <row r="175" spans="1:20" s="264" customFormat="1" ht="10.199999999999999" x14ac:dyDescent="0.2">
      <c r="A175" s="89"/>
      <c r="B175" s="100"/>
      <c r="C175" s="100"/>
      <c r="D175" s="100"/>
      <c r="E175" s="92"/>
      <c r="F175" s="89"/>
      <c r="G175" s="100"/>
      <c r="H175" s="100"/>
      <c r="I175" s="100"/>
      <c r="J175" s="100"/>
      <c r="K175" s="175"/>
      <c r="L175" s="175"/>
      <c r="M175" s="49" t="s">
        <v>14</v>
      </c>
      <c r="N175" s="61"/>
      <c r="O175" s="273"/>
      <c r="P175" s="62"/>
      <c r="Q175" s="92"/>
      <c r="R175" s="265"/>
      <c r="S175" s="285"/>
      <c r="T175" s="235"/>
    </row>
    <row r="176" spans="1:20" s="264" customFormat="1" ht="10.199999999999999" x14ac:dyDescent="0.2">
      <c r="A176" s="89"/>
      <c r="B176" s="100"/>
      <c r="C176" s="100"/>
      <c r="D176" s="100"/>
      <c r="E176" s="78"/>
      <c r="F176" s="89"/>
      <c r="G176" s="100"/>
      <c r="H176" s="100"/>
      <c r="I176" s="100"/>
      <c r="J176" s="100"/>
      <c r="K176" s="175"/>
      <c r="L176" s="175"/>
      <c r="M176" s="252" t="s">
        <v>533</v>
      </c>
      <c r="N176" s="115" t="s">
        <v>485</v>
      </c>
      <c r="O176" s="89"/>
      <c r="P176" s="89"/>
      <c r="Q176" s="78"/>
      <c r="R176" s="265"/>
      <c r="S176" s="285"/>
      <c r="T176" s="235"/>
    </row>
    <row r="177" spans="1:20" s="264" customFormat="1" ht="10.199999999999999" x14ac:dyDescent="0.2">
      <c r="A177" s="89">
        <f>A171+1</f>
        <v>29</v>
      </c>
      <c r="B177" s="88">
        <v>44372</v>
      </c>
      <c r="C177" s="88" t="s">
        <v>122</v>
      </c>
      <c r="D177" s="89" t="s">
        <v>532</v>
      </c>
      <c r="E177" s="58" t="s">
        <v>441</v>
      </c>
      <c r="F177" s="89" t="s">
        <v>299</v>
      </c>
      <c r="G177" s="90" t="s">
        <v>219</v>
      </c>
      <c r="H177" s="90" t="s">
        <v>332</v>
      </c>
      <c r="I177" s="90" t="s">
        <v>220</v>
      </c>
      <c r="J177" s="115">
        <v>64.3</v>
      </c>
      <c r="K177" s="111">
        <f>S177*6</f>
        <v>504.74102880242538</v>
      </c>
      <c r="L177" s="111">
        <f>S177*3</f>
        <v>252.37051440121269</v>
      </c>
      <c r="M177" s="49" t="s">
        <v>10</v>
      </c>
      <c r="N177" s="173" t="s">
        <v>465</v>
      </c>
      <c r="O177" s="272"/>
      <c r="P177" s="60"/>
      <c r="Q177" s="124"/>
      <c r="R177" s="265"/>
      <c r="S177" s="285">
        <f>14.5*J177*1*(1+1.2+0.9)*1.2*12/1979*4</f>
        <v>84.123504800404234</v>
      </c>
      <c r="T177" s="235"/>
    </row>
    <row r="178" spans="1:20" s="264" customFormat="1" ht="20.399999999999999" x14ac:dyDescent="0.2">
      <c r="A178" s="89"/>
      <c r="B178" s="100"/>
      <c r="C178" s="100"/>
      <c r="D178" s="100"/>
      <c r="E178" s="92"/>
      <c r="F178" s="89"/>
      <c r="G178" s="100"/>
      <c r="H178" s="100"/>
      <c r="I178" s="100"/>
      <c r="J178" s="100"/>
      <c r="K178" s="175"/>
      <c r="L178" s="175"/>
      <c r="M178" s="49" t="s">
        <v>11</v>
      </c>
      <c r="N178" s="61"/>
      <c r="O178" s="273"/>
      <c r="P178" s="62"/>
      <c r="Q178" s="92"/>
      <c r="R178" s="265"/>
      <c r="S178" s="285"/>
      <c r="T178" s="235"/>
    </row>
    <row r="179" spans="1:20" s="264" customFormat="1" ht="10.199999999999999" x14ac:dyDescent="0.2">
      <c r="A179" s="89"/>
      <c r="B179" s="100"/>
      <c r="C179" s="100"/>
      <c r="D179" s="100"/>
      <c r="E179" s="92"/>
      <c r="F179" s="89"/>
      <c r="G179" s="100"/>
      <c r="H179" s="100"/>
      <c r="I179" s="100"/>
      <c r="J179" s="100"/>
      <c r="K179" s="175"/>
      <c r="L179" s="175"/>
      <c r="M179" s="49" t="s">
        <v>12</v>
      </c>
      <c r="N179" s="61"/>
      <c r="O179" s="273"/>
      <c r="P179" s="62"/>
      <c r="Q179" s="92"/>
      <c r="R179" s="265"/>
      <c r="S179" s="285"/>
      <c r="T179" s="235"/>
    </row>
    <row r="180" spans="1:20" s="264" customFormat="1" ht="10.199999999999999" x14ac:dyDescent="0.2">
      <c r="A180" s="89"/>
      <c r="B180" s="100"/>
      <c r="C180" s="100"/>
      <c r="D180" s="100"/>
      <c r="E180" s="92"/>
      <c r="F180" s="89"/>
      <c r="G180" s="100"/>
      <c r="H180" s="100"/>
      <c r="I180" s="100"/>
      <c r="J180" s="100"/>
      <c r="K180" s="175"/>
      <c r="L180" s="175"/>
      <c r="M180" s="49" t="s">
        <v>13</v>
      </c>
      <c r="N180" s="61"/>
      <c r="O180" s="273"/>
      <c r="P180" s="62"/>
      <c r="Q180" s="92"/>
      <c r="R180" s="265"/>
      <c r="S180" s="285"/>
      <c r="T180" s="235"/>
    </row>
    <row r="181" spans="1:20" s="264" customFormat="1" ht="10.199999999999999" x14ac:dyDescent="0.2">
      <c r="A181" s="89"/>
      <c r="B181" s="100"/>
      <c r="C181" s="100"/>
      <c r="D181" s="100"/>
      <c r="E181" s="92"/>
      <c r="F181" s="89"/>
      <c r="G181" s="100"/>
      <c r="H181" s="100"/>
      <c r="I181" s="100"/>
      <c r="J181" s="100"/>
      <c r="K181" s="175"/>
      <c r="L181" s="175"/>
      <c r="M181" s="49" t="s">
        <v>14</v>
      </c>
      <c r="N181" s="61"/>
      <c r="O181" s="273"/>
      <c r="P181" s="62"/>
      <c r="Q181" s="92"/>
      <c r="R181" s="265"/>
      <c r="S181" s="285"/>
      <c r="T181" s="235"/>
    </row>
    <row r="182" spans="1:20" s="264" customFormat="1" ht="10.199999999999999" x14ac:dyDescent="0.2">
      <c r="A182" s="89"/>
      <c r="B182" s="100"/>
      <c r="C182" s="100"/>
      <c r="D182" s="100"/>
      <c r="E182" s="78"/>
      <c r="F182" s="89"/>
      <c r="G182" s="100"/>
      <c r="H182" s="100"/>
      <c r="I182" s="100"/>
      <c r="J182" s="100"/>
      <c r="K182" s="175"/>
      <c r="L182" s="175"/>
      <c r="M182" s="252" t="s">
        <v>533</v>
      </c>
      <c r="N182" s="115" t="s">
        <v>485</v>
      </c>
      <c r="O182" s="89"/>
      <c r="P182" s="89"/>
      <c r="Q182" s="78"/>
      <c r="R182" s="265"/>
      <c r="S182" s="285"/>
      <c r="T182" s="235"/>
    </row>
    <row r="183" spans="1:20" s="264" customFormat="1" ht="10.199999999999999" x14ac:dyDescent="0.2">
      <c r="A183" s="89">
        <f>A177+1</f>
        <v>30</v>
      </c>
      <c r="B183" s="88">
        <v>44389</v>
      </c>
      <c r="C183" s="88" t="s">
        <v>122</v>
      </c>
      <c r="D183" s="90" t="s">
        <v>221</v>
      </c>
      <c r="E183" s="58" t="s">
        <v>441</v>
      </c>
      <c r="F183" s="89" t="s">
        <v>299</v>
      </c>
      <c r="G183" s="90" t="s">
        <v>222</v>
      </c>
      <c r="H183" s="90" t="s">
        <v>504</v>
      </c>
      <c r="I183" s="90" t="s">
        <v>223</v>
      </c>
      <c r="J183" s="115">
        <v>62.7</v>
      </c>
      <c r="K183" s="111">
        <f>S183*6</f>
        <v>492.18137645275397</v>
      </c>
      <c r="L183" s="111">
        <f>S183*3</f>
        <v>246.09068822637698</v>
      </c>
      <c r="M183" s="49" t="s">
        <v>10</v>
      </c>
      <c r="N183" s="173" t="s">
        <v>465</v>
      </c>
      <c r="O183" s="272"/>
      <c r="P183" s="60"/>
      <c r="Q183" s="124"/>
      <c r="R183" s="265"/>
      <c r="S183" s="285">
        <f>14.5*J183*1*(1+1.2+0.9)*1.2*12/1979*4</f>
        <v>82.030229408792323</v>
      </c>
      <c r="T183" s="235"/>
    </row>
    <row r="184" spans="1:20" s="264" customFormat="1" ht="20.399999999999999" x14ac:dyDescent="0.2">
      <c r="A184" s="89"/>
      <c r="B184" s="100"/>
      <c r="C184" s="100"/>
      <c r="D184" s="100"/>
      <c r="E184" s="92"/>
      <c r="F184" s="89"/>
      <c r="G184" s="100"/>
      <c r="H184" s="100"/>
      <c r="I184" s="100"/>
      <c r="J184" s="100"/>
      <c r="K184" s="175"/>
      <c r="L184" s="175"/>
      <c r="M184" s="49" t="s">
        <v>11</v>
      </c>
      <c r="N184" s="61"/>
      <c r="O184" s="273"/>
      <c r="P184" s="62"/>
      <c r="Q184" s="92"/>
      <c r="R184" s="265"/>
      <c r="S184" s="285"/>
      <c r="T184" s="235"/>
    </row>
    <row r="185" spans="1:20" s="264" customFormat="1" ht="10.199999999999999" x14ac:dyDescent="0.2">
      <c r="A185" s="89"/>
      <c r="B185" s="100"/>
      <c r="C185" s="100"/>
      <c r="D185" s="100"/>
      <c r="E185" s="92"/>
      <c r="F185" s="89"/>
      <c r="G185" s="100"/>
      <c r="H185" s="100"/>
      <c r="I185" s="100"/>
      <c r="J185" s="100"/>
      <c r="K185" s="175"/>
      <c r="L185" s="175"/>
      <c r="M185" s="49" t="s">
        <v>12</v>
      </c>
      <c r="N185" s="61"/>
      <c r="O185" s="273"/>
      <c r="P185" s="62"/>
      <c r="Q185" s="92"/>
      <c r="R185" s="265"/>
      <c r="S185" s="285"/>
      <c r="T185" s="235"/>
    </row>
    <row r="186" spans="1:20" s="264" customFormat="1" ht="10.199999999999999" x14ac:dyDescent="0.2">
      <c r="A186" s="89"/>
      <c r="B186" s="100"/>
      <c r="C186" s="100"/>
      <c r="D186" s="100"/>
      <c r="E186" s="92"/>
      <c r="F186" s="89"/>
      <c r="G186" s="100"/>
      <c r="H186" s="100"/>
      <c r="I186" s="100"/>
      <c r="J186" s="100"/>
      <c r="K186" s="175"/>
      <c r="L186" s="175"/>
      <c r="M186" s="49" t="s">
        <v>13</v>
      </c>
      <c r="N186" s="61"/>
      <c r="O186" s="273"/>
      <c r="P186" s="62"/>
      <c r="Q186" s="92"/>
      <c r="R186" s="265"/>
      <c r="S186" s="285"/>
      <c r="T186" s="235"/>
    </row>
    <row r="187" spans="1:20" s="264" customFormat="1" ht="10.199999999999999" x14ac:dyDescent="0.2">
      <c r="A187" s="89"/>
      <c r="B187" s="100"/>
      <c r="C187" s="100"/>
      <c r="D187" s="100"/>
      <c r="E187" s="92"/>
      <c r="F187" s="89"/>
      <c r="G187" s="100"/>
      <c r="H187" s="100"/>
      <c r="I187" s="100"/>
      <c r="J187" s="100"/>
      <c r="K187" s="175"/>
      <c r="L187" s="175"/>
      <c r="M187" s="51" t="s">
        <v>14</v>
      </c>
      <c r="N187" s="61"/>
      <c r="O187" s="273"/>
      <c r="P187" s="62"/>
      <c r="Q187" s="92"/>
      <c r="R187" s="265"/>
      <c r="S187" s="285"/>
      <c r="T187" s="235"/>
    </row>
    <row r="188" spans="1:20" s="264" customFormat="1" ht="10.199999999999999" x14ac:dyDescent="0.2">
      <c r="A188" s="89"/>
      <c r="B188" s="100"/>
      <c r="C188" s="100"/>
      <c r="D188" s="100"/>
      <c r="E188" s="78"/>
      <c r="F188" s="89"/>
      <c r="G188" s="100"/>
      <c r="H188" s="100"/>
      <c r="I188" s="100"/>
      <c r="J188" s="100"/>
      <c r="K188" s="175"/>
      <c r="L188" s="175"/>
      <c r="M188" s="49" t="s">
        <v>533</v>
      </c>
      <c r="N188" s="115" t="s">
        <v>485</v>
      </c>
      <c r="O188" s="89"/>
      <c r="P188" s="89"/>
      <c r="Q188" s="78"/>
      <c r="R188" s="265"/>
      <c r="S188" s="285"/>
      <c r="T188" s="235"/>
    </row>
    <row r="189" spans="1:20" s="264" customFormat="1" ht="10.199999999999999" x14ac:dyDescent="0.2">
      <c r="A189" s="89">
        <f>A183+1</f>
        <v>31</v>
      </c>
      <c r="B189" s="88">
        <v>44397</v>
      </c>
      <c r="C189" s="88" t="s">
        <v>122</v>
      </c>
      <c r="D189" s="90" t="s">
        <v>224</v>
      </c>
      <c r="E189" s="58" t="s">
        <v>441</v>
      </c>
      <c r="F189" s="89" t="s">
        <v>299</v>
      </c>
      <c r="G189" s="90" t="s">
        <v>225</v>
      </c>
      <c r="H189" s="90" t="s">
        <v>333</v>
      </c>
      <c r="I189" s="90" t="s">
        <v>226</v>
      </c>
      <c r="J189" s="115">
        <v>62.7</v>
      </c>
      <c r="K189" s="111">
        <f>S189*6</f>
        <v>492.18137645275397</v>
      </c>
      <c r="L189" s="111">
        <f>S189*3</f>
        <v>246.09068822637698</v>
      </c>
      <c r="M189" s="49" t="s">
        <v>10</v>
      </c>
      <c r="N189" s="173" t="s">
        <v>465</v>
      </c>
      <c r="O189" s="272"/>
      <c r="P189" s="60"/>
      <c r="Q189" s="124"/>
      <c r="R189" s="265"/>
      <c r="S189" s="285">
        <f>14.5*J189*1*(1+1.2+0.9)*1.2*12/1979*4</f>
        <v>82.030229408792323</v>
      </c>
      <c r="T189" s="235"/>
    </row>
    <row r="190" spans="1:20" s="264" customFormat="1" ht="20.399999999999999" x14ac:dyDescent="0.2">
      <c r="A190" s="89"/>
      <c r="B190" s="100"/>
      <c r="C190" s="100"/>
      <c r="D190" s="100"/>
      <c r="E190" s="92"/>
      <c r="F190" s="89"/>
      <c r="G190" s="100"/>
      <c r="H190" s="100"/>
      <c r="I190" s="100"/>
      <c r="J190" s="100"/>
      <c r="K190" s="175"/>
      <c r="L190" s="175"/>
      <c r="M190" s="49" t="s">
        <v>11</v>
      </c>
      <c r="N190" s="61"/>
      <c r="O190" s="273"/>
      <c r="P190" s="62"/>
      <c r="Q190" s="92"/>
      <c r="R190" s="265"/>
      <c r="S190" s="285"/>
      <c r="T190" s="235"/>
    </row>
    <row r="191" spans="1:20" s="264" customFormat="1" ht="10.199999999999999" x14ac:dyDescent="0.2">
      <c r="A191" s="89"/>
      <c r="B191" s="100"/>
      <c r="C191" s="100"/>
      <c r="D191" s="100"/>
      <c r="E191" s="92"/>
      <c r="F191" s="89"/>
      <c r="G191" s="100"/>
      <c r="H191" s="100"/>
      <c r="I191" s="100"/>
      <c r="J191" s="100"/>
      <c r="K191" s="175"/>
      <c r="L191" s="175"/>
      <c r="M191" s="49" t="s">
        <v>12</v>
      </c>
      <c r="N191" s="61"/>
      <c r="O191" s="273"/>
      <c r="P191" s="62"/>
      <c r="Q191" s="92"/>
      <c r="R191" s="265"/>
      <c r="S191" s="285"/>
      <c r="T191" s="235"/>
    </row>
    <row r="192" spans="1:20" s="264" customFormat="1" ht="10.199999999999999" x14ac:dyDescent="0.2">
      <c r="A192" s="89"/>
      <c r="B192" s="100"/>
      <c r="C192" s="100"/>
      <c r="D192" s="100"/>
      <c r="E192" s="92"/>
      <c r="F192" s="89"/>
      <c r="G192" s="100"/>
      <c r="H192" s="100"/>
      <c r="I192" s="100"/>
      <c r="J192" s="100"/>
      <c r="K192" s="175"/>
      <c r="L192" s="175"/>
      <c r="M192" s="49" t="s">
        <v>13</v>
      </c>
      <c r="N192" s="61"/>
      <c r="O192" s="273"/>
      <c r="P192" s="62"/>
      <c r="Q192" s="92"/>
      <c r="R192" s="265"/>
      <c r="S192" s="285"/>
      <c r="T192" s="235"/>
    </row>
    <row r="193" spans="1:20" s="264" customFormat="1" ht="10.199999999999999" x14ac:dyDescent="0.2">
      <c r="A193" s="89"/>
      <c r="B193" s="100"/>
      <c r="C193" s="100"/>
      <c r="D193" s="100"/>
      <c r="E193" s="92"/>
      <c r="F193" s="89"/>
      <c r="G193" s="100"/>
      <c r="H193" s="100"/>
      <c r="I193" s="100"/>
      <c r="J193" s="100"/>
      <c r="K193" s="175"/>
      <c r="L193" s="175"/>
      <c r="M193" s="49" t="s">
        <v>14</v>
      </c>
      <c r="N193" s="61"/>
      <c r="O193" s="273"/>
      <c r="P193" s="62"/>
      <c r="Q193" s="92"/>
      <c r="R193" s="265"/>
      <c r="S193" s="285"/>
      <c r="T193" s="235"/>
    </row>
    <row r="194" spans="1:20" s="264" customFormat="1" ht="10.199999999999999" x14ac:dyDescent="0.2">
      <c r="A194" s="89"/>
      <c r="B194" s="100"/>
      <c r="C194" s="100"/>
      <c r="D194" s="100"/>
      <c r="E194" s="78"/>
      <c r="F194" s="89"/>
      <c r="G194" s="100"/>
      <c r="H194" s="100"/>
      <c r="I194" s="176"/>
      <c r="J194" s="100"/>
      <c r="K194" s="175"/>
      <c r="L194" s="175"/>
      <c r="M194" s="49" t="s">
        <v>533</v>
      </c>
      <c r="N194" s="115" t="s">
        <v>485</v>
      </c>
      <c r="O194" s="89"/>
      <c r="P194" s="89"/>
      <c r="Q194" s="78"/>
      <c r="R194" s="265"/>
      <c r="S194" s="285"/>
      <c r="T194" s="235"/>
    </row>
    <row r="195" spans="1:20" s="264" customFormat="1" ht="10.199999999999999" x14ac:dyDescent="0.2">
      <c r="A195" s="89">
        <f>A189+1</f>
        <v>32</v>
      </c>
      <c r="B195" s="70">
        <v>44341</v>
      </c>
      <c r="C195" s="70" t="s">
        <v>122</v>
      </c>
      <c r="D195" s="58" t="s">
        <v>236</v>
      </c>
      <c r="E195" s="89" t="s">
        <v>442</v>
      </c>
      <c r="F195" s="89" t="s">
        <v>299</v>
      </c>
      <c r="G195" s="110" t="s">
        <v>237</v>
      </c>
      <c r="H195" s="110" t="s">
        <v>334</v>
      </c>
      <c r="I195" s="110" t="s">
        <v>238</v>
      </c>
      <c r="J195" s="123">
        <v>28.5</v>
      </c>
      <c r="K195" s="111">
        <f>S195*6</f>
        <v>894.87522991409787</v>
      </c>
      <c r="L195" s="111">
        <f>S195*3</f>
        <v>447.43761495704894</v>
      </c>
      <c r="M195" s="49" t="s">
        <v>10</v>
      </c>
      <c r="N195" s="173" t="s">
        <v>465</v>
      </c>
      <c r="O195" s="272"/>
      <c r="P195" s="60"/>
      <c r="Q195" s="124"/>
      <c r="R195" s="265"/>
      <c r="S195" s="94">
        <f>14.5*J195*1*(1+1.2+0.9)*1.2*12/1979*16</f>
        <v>149.14587165234965</v>
      </c>
      <c r="T195" s="235"/>
    </row>
    <row r="196" spans="1:20" s="264" customFormat="1" ht="20.399999999999999" x14ac:dyDescent="0.2">
      <c r="A196" s="89"/>
      <c r="B196" s="92"/>
      <c r="C196" s="92"/>
      <c r="D196" s="92"/>
      <c r="E196" s="100"/>
      <c r="F196" s="89"/>
      <c r="G196" s="92"/>
      <c r="H196" s="92"/>
      <c r="I196" s="92"/>
      <c r="J196" s="92"/>
      <c r="K196" s="175"/>
      <c r="L196" s="175"/>
      <c r="M196" s="49" t="s">
        <v>11</v>
      </c>
      <c r="N196" s="61"/>
      <c r="O196" s="273"/>
      <c r="P196" s="62"/>
      <c r="Q196" s="92"/>
      <c r="R196" s="265"/>
      <c r="S196" s="94"/>
      <c r="T196" s="235"/>
    </row>
    <row r="197" spans="1:20" s="264" customFormat="1" ht="10.199999999999999" x14ac:dyDescent="0.2">
      <c r="A197" s="89"/>
      <c r="B197" s="92"/>
      <c r="C197" s="92"/>
      <c r="D197" s="92"/>
      <c r="E197" s="100"/>
      <c r="F197" s="89"/>
      <c r="G197" s="92"/>
      <c r="H197" s="92"/>
      <c r="I197" s="92"/>
      <c r="J197" s="92"/>
      <c r="K197" s="175"/>
      <c r="L197" s="175"/>
      <c r="M197" s="49" t="s">
        <v>12</v>
      </c>
      <c r="N197" s="61"/>
      <c r="O197" s="273"/>
      <c r="P197" s="62"/>
      <c r="Q197" s="92"/>
      <c r="R197" s="265"/>
      <c r="S197" s="94"/>
      <c r="T197" s="235"/>
    </row>
    <row r="198" spans="1:20" s="264" customFormat="1" ht="10.199999999999999" x14ac:dyDescent="0.2">
      <c r="A198" s="89"/>
      <c r="B198" s="92"/>
      <c r="C198" s="92"/>
      <c r="D198" s="92"/>
      <c r="E198" s="100"/>
      <c r="F198" s="89"/>
      <c r="G198" s="92"/>
      <c r="H198" s="92"/>
      <c r="I198" s="92"/>
      <c r="J198" s="92"/>
      <c r="K198" s="175"/>
      <c r="L198" s="175"/>
      <c r="M198" s="49" t="s">
        <v>13</v>
      </c>
      <c r="N198" s="61"/>
      <c r="O198" s="273"/>
      <c r="P198" s="62"/>
      <c r="Q198" s="92"/>
      <c r="R198" s="265"/>
      <c r="S198" s="94"/>
      <c r="T198" s="235"/>
    </row>
    <row r="199" spans="1:20" s="264" customFormat="1" ht="10.199999999999999" x14ac:dyDescent="0.2">
      <c r="A199" s="89"/>
      <c r="B199" s="92"/>
      <c r="C199" s="92"/>
      <c r="D199" s="92"/>
      <c r="E199" s="100"/>
      <c r="F199" s="89"/>
      <c r="G199" s="92"/>
      <c r="H199" s="92"/>
      <c r="I199" s="92"/>
      <c r="J199" s="92"/>
      <c r="K199" s="175"/>
      <c r="L199" s="175"/>
      <c r="M199" s="49" t="s">
        <v>14</v>
      </c>
      <c r="N199" s="61"/>
      <c r="O199" s="273"/>
      <c r="P199" s="62"/>
      <c r="Q199" s="92"/>
      <c r="R199" s="265"/>
      <c r="S199" s="94"/>
      <c r="T199" s="235"/>
    </row>
    <row r="200" spans="1:20" s="264" customFormat="1" ht="10.199999999999999" x14ac:dyDescent="0.2">
      <c r="A200" s="89"/>
      <c r="B200" s="92"/>
      <c r="C200" s="92"/>
      <c r="D200" s="92"/>
      <c r="E200" s="100"/>
      <c r="F200" s="89"/>
      <c r="G200" s="92"/>
      <c r="H200" s="92"/>
      <c r="I200" s="92"/>
      <c r="J200" s="92"/>
      <c r="K200" s="175"/>
      <c r="L200" s="175"/>
      <c r="M200" s="49" t="s">
        <v>533</v>
      </c>
      <c r="N200" s="115" t="s">
        <v>485</v>
      </c>
      <c r="O200" s="89"/>
      <c r="P200" s="89"/>
      <c r="Q200" s="78"/>
      <c r="R200" s="265"/>
      <c r="S200" s="94"/>
      <c r="T200" s="235"/>
    </row>
    <row r="201" spans="1:20" s="264" customFormat="1" ht="10.199999999999999" x14ac:dyDescent="0.2">
      <c r="A201" s="89">
        <f>A195+1</f>
        <v>33</v>
      </c>
      <c r="B201" s="88">
        <v>45070</v>
      </c>
      <c r="C201" s="88">
        <v>46867</v>
      </c>
      <c r="D201" s="89" t="s">
        <v>624</v>
      </c>
      <c r="E201" s="89" t="s">
        <v>664</v>
      </c>
      <c r="F201" s="89" t="s">
        <v>299</v>
      </c>
      <c r="G201" s="90" t="s">
        <v>239</v>
      </c>
      <c r="H201" s="90" t="s">
        <v>625</v>
      </c>
      <c r="I201" s="110" t="s">
        <v>241</v>
      </c>
      <c r="J201" s="115">
        <v>276.39999999999998</v>
      </c>
      <c r="K201" s="111">
        <f>S201*6</f>
        <v>107344.91519999999</v>
      </c>
      <c r="L201" s="111">
        <f>S201*3</f>
        <v>53672.457599999994</v>
      </c>
      <c r="M201" s="11" t="s">
        <v>10</v>
      </c>
      <c r="N201" s="79" t="s">
        <v>457</v>
      </c>
      <c r="O201" s="60"/>
      <c r="P201" s="115" t="s">
        <v>239</v>
      </c>
      <c r="Q201" s="124"/>
      <c r="R201" s="265"/>
      <c r="S201" s="94">
        <f>14.5*J201*1.2*(1+1.2+0.9)*1.2</f>
        <v>17890.819199999998</v>
      </c>
      <c r="T201" s="235"/>
    </row>
    <row r="202" spans="1:20" s="264" customFormat="1" ht="20.399999999999999" x14ac:dyDescent="0.2">
      <c r="A202" s="89"/>
      <c r="B202" s="100"/>
      <c r="C202" s="100"/>
      <c r="D202" s="100"/>
      <c r="E202" s="100"/>
      <c r="F202" s="89"/>
      <c r="G202" s="100"/>
      <c r="H202" s="100"/>
      <c r="I202" s="92"/>
      <c r="J202" s="100"/>
      <c r="K202" s="175"/>
      <c r="L202" s="175"/>
      <c r="M202" s="49" t="s">
        <v>11</v>
      </c>
      <c r="N202" s="61"/>
      <c r="O202" s="62"/>
      <c r="P202" s="175"/>
      <c r="Q202" s="92"/>
      <c r="R202" s="265"/>
      <c r="S202" s="94"/>
      <c r="T202" s="235"/>
    </row>
    <row r="203" spans="1:20" s="264" customFormat="1" ht="10.199999999999999" x14ac:dyDescent="0.2">
      <c r="A203" s="89"/>
      <c r="B203" s="100"/>
      <c r="C203" s="100"/>
      <c r="D203" s="100"/>
      <c r="E203" s="100"/>
      <c r="F203" s="89"/>
      <c r="G203" s="100"/>
      <c r="H203" s="100"/>
      <c r="I203" s="92"/>
      <c r="J203" s="100"/>
      <c r="K203" s="175"/>
      <c r="L203" s="175"/>
      <c r="M203" s="49" t="s">
        <v>12</v>
      </c>
      <c r="N203" s="61"/>
      <c r="O203" s="62"/>
      <c r="P203" s="175"/>
      <c r="Q203" s="92"/>
      <c r="R203" s="265"/>
      <c r="S203" s="94"/>
      <c r="T203" s="235"/>
    </row>
    <row r="204" spans="1:20" s="264" customFormat="1" ht="10.199999999999999" x14ac:dyDescent="0.2">
      <c r="A204" s="89"/>
      <c r="B204" s="100"/>
      <c r="C204" s="100"/>
      <c r="D204" s="100"/>
      <c r="E204" s="100"/>
      <c r="F204" s="89"/>
      <c r="G204" s="100"/>
      <c r="H204" s="100"/>
      <c r="I204" s="92"/>
      <c r="J204" s="100"/>
      <c r="K204" s="175"/>
      <c r="L204" s="175"/>
      <c r="M204" s="49" t="s">
        <v>13</v>
      </c>
      <c r="N204" s="61"/>
      <c r="O204" s="62"/>
      <c r="P204" s="175"/>
      <c r="Q204" s="92"/>
      <c r="R204" s="265"/>
      <c r="S204" s="94"/>
      <c r="T204" s="235"/>
    </row>
    <row r="205" spans="1:20" s="264" customFormat="1" ht="10.199999999999999" x14ac:dyDescent="0.2">
      <c r="A205" s="89"/>
      <c r="B205" s="100"/>
      <c r="C205" s="100"/>
      <c r="D205" s="100"/>
      <c r="E205" s="100"/>
      <c r="F205" s="89"/>
      <c r="G205" s="100"/>
      <c r="H205" s="100"/>
      <c r="I205" s="92"/>
      <c r="J205" s="100"/>
      <c r="K205" s="175"/>
      <c r="L205" s="175"/>
      <c r="M205" s="49" t="s">
        <v>14</v>
      </c>
      <c r="N205" s="61"/>
      <c r="O205" s="62"/>
      <c r="P205" s="175"/>
      <c r="Q205" s="92"/>
      <c r="R205" s="265"/>
      <c r="S205" s="94"/>
      <c r="T205" s="235"/>
    </row>
    <row r="206" spans="1:20" s="264" customFormat="1" ht="10.199999999999999" x14ac:dyDescent="0.2">
      <c r="A206" s="89"/>
      <c r="B206" s="100"/>
      <c r="C206" s="100"/>
      <c r="D206" s="100"/>
      <c r="E206" s="100"/>
      <c r="F206" s="89"/>
      <c r="G206" s="100"/>
      <c r="H206" s="100"/>
      <c r="I206" s="289"/>
      <c r="J206" s="100"/>
      <c r="K206" s="175"/>
      <c r="L206" s="175"/>
      <c r="M206" s="252" t="s">
        <v>533</v>
      </c>
      <c r="N206" s="89" t="s">
        <v>485</v>
      </c>
      <c r="O206" s="89"/>
      <c r="P206" s="175"/>
      <c r="Q206" s="78"/>
      <c r="R206" s="265"/>
      <c r="S206" s="94"/>
      <c r="T206" s="235"/>
    </row>
    <row r="207" spans="1:20" s="264" customFormat="1" ht="10.199999999999999" x14ac:dyDescent="0.2">
      <c r="A207" s="89">
        <f>A201+1</f>
        <v>34</v>
      </c>
      <c r="B207" s="134">
        <v>45082</v>
      </c>
      <c r="C207" s="134">
        <v>46840</v>
      </c>
      <c r="D207" s="89" t="s">
        <v>662</v>
      </c>
      <c r="E207" s="89" t="s">
        <v>665</v>
      </c>
      <c r="F207" s="89" t="s">
        <v>299</v>
      </c>
      <c r="G207" s="89" t="s">
        <v>74</v>
      </c>
      <c r="H207" s="89" t="s">
        <v>663</v>
      </c>
      <c r="I207" s="89" t="s">
        <v>245</v>
      </c>
      <c r="J207" s="89">
        <v>101</v>
      </c>
      <c r="K207" s="111">
        <f>S207*6</f>
        <v>39225.167999999998</v>
      </c>
      <c r="L207" s="111">
        <f>S207*3</f>
        <v>19612.583999999999</v>
      </c>
      <c r="M207" s="49" t="s">
        <v>10</v>
      </c>
      <c r="N207" s="24">
        <v>327.17</v>
      </c>
      <c r="O207" s="24">
        <v>168.99</v>
      </c>
      <c r="P207" s="111" t="s">
        <v>74</v>
      </c>
      <c r="Q207" s="58"/>
      <c r="R207" s="265"/>
      <c r="S207" s="94">
        <f>14.5*J207*1.2*(1+1.2+0.9)*1.2</f>
        <v>6537.5279999999993</v>
      </c>
      <c r="T207" s="235"/>
    </row>
    <row r="208" spans="1:20" s="264" customFormat="1" ht="20.399999999999999" x14ac:dyDescent="0.2">
      <c r="A208" s="89"/>
      <c r="B208" s="100"/>
      <c r="C208" s="100"/>
      <c r="D208" s="100"/>
      <c r="E208" s="100"/>
      <c r="F208" s="89"/>
      <c r="G208" s="100"/>
      <c r="H208" s="100"/>
      <c r="I208" s="100"/>
      <c r="J208" s="100"/>
      <c r="K208" s="175"/>
      <c r="L208" s="175"/>
      <c r="M208" s="49" t="s">
        <v>11</v>
      </c>
      <c r="N208" s="24">
        <v>92.28</v>
      </c>
      <c r="O208" s="24">
        <v>68.45</v>
      </c>
      <c r="P208" s="175"/>
      <c r="Q208" s="71"/>
      <c r="R208" s="265"/>
      <c r="S208" s="94"/>
      <c r="T208" s="235"/>
    </row>
    <row r="209" spans="1:20" s="264" customFormat="1" ht="10.199999999999999" x14ac:dyDescent="0.2">
      <c r="A209" s="89"/>
      <c r="B209" s="100"/>
      <c r="C209" s="100"/>
      <c r="D209" s="100"/>
      <c r="E209" s="100"/>
      <c r="F209" s="89"/>
      <c r="G209" s="100"/>
      <c r="H209" s="100"/>
      <c r="I209" s="100"/>
      <c r="J209" s="100"/>
      <c r="K209" s="175"/>
      <c r="L209" s="175"/>
      <c r="M209" s="49" t="s">
        <v>12</v>
      </c>
      <c r="N209" s="24">
        <v>0</v>
      </c>
      <c r="O209" s="24">
        <v>0</v>
      </c>
      <c r="P209" s="175"/>
      <c r="Q209" s="71"/>
      <c r="R209" s="265"/>
      <c r="S209" s="94"/>
      <c r="T209" s="235"/>
    </row>
    <row r="210" spans="1:20" s="264" customFormat="1" ht="10.199999999999999" x14ac:dyDescent="0.2">
      <c r="A210" s="89"/>
      <c r="B210" s="100"/>
      <c r="C210" s="100"/>
      <c r="D210" s="100"/>
      <c r="E210" s="100"/>
      <c r="F210" s="89"/>
      <c r="G210" s="100"/>
      <c r="H210" s="100"/>
      <c r="I210" s="100"/>
      <c r="J210" s="100"/>
      <c r="K210" s="175"/>
      <c r="L210" s="175"/>
      <c r="M210" s="49" t="s">
        <v>13</v>
      </c>
      <c r="N210" s="24">
        <v>0</v>
      </c>
      <c r="O210" s="24">
        <v>0</v>
      </c>
      <c r="P210" s="175"/>
      <c r="Q210" s="71"/>
      <c r="R210" s="265"/>
      <c r="S210" s="94"/>
      <c r="T210" s="235"/>
    </row>
    <row r="211" spans="1:20" s="264" customFormat="1" ht="10.199999999999999" x14ac:dyDescent="0.2">
      <c r="A211" s="89"/>
      <c r="B211" s="100"/>
      <c r="C211" s="100"/>
      <c r="D211" s="100"/>
      <c r="E211" s="100"/>
      <c r="F211" s="89"/>
      <c r="G211" s="100"/>
      <c r="H211" s="100"/>
      <c r="I211" s="100"/>
      <c r="J211" s="100"/>
      <c r="K211" s="175"/>
      <c r="L211" s="175"/>
      <c r="M211" s="49" t="s">
        <v>14</v>
      </c>
      <c r="N211" s="24">
        <v>0</v>
      </c>
      <c r="O211" s="24">
        <v>0</v>
      </c>
      <c r="P211" s="175"/>
      <c r="Q211" s="71"/>
      <c r="R211" s="265"/>
      <c r="S211" s="94"/>
      <c r="T211" s="235"/>
    </row>
    <row r="212" spans="1:20" s="264" customFormat="1" ht="10.199999999999999" x14ac:dyDescent="0.2">
      <c r="A212" s="89"/>
      <c r="B212" s="100"/>
      <c r="C212" s="100"/>
      <c r="D212" s="100"/>
      <c r="E212" s="100"/>
      <c r="F212" s="89"/>
      <c r="G212" s="100"/>
      <c r="H212" s="100"/>
      <c r="I212" s="100"/>
      <c r="J212" s="100"/>
      <c r="K212" s="175"/>
      <c r="L212" s="175"/>
      <c r="M212" s="252" t="s">
        <v>533</v>
      </c>
      <c r="N212" s="89" t="s">
        <v>485</v>
      </c>
      <c r="O212" s="89"/>
      <c r="P212" s="175"/>
      <c r="Q212" s="87"/>
      <c r="R212" s="265"/>
      <c r="S212" s="94"/>
      <c r="T212" s="235"/>
    </row>
    <row r="213" spans="1:20" s="264" customFormat="1" x14ac:dyDescent="0.2">
      <c r="A213" s="89">
        <f>A207+1</f>
        <v>35</v>
      </c>
      <c r="B213" s="88">
        <v>44774</v>
      </c>
      <c r="C213" s="88">
        <v>46599</v>
      </c>
      <c r="D213" s="89" t="s">
        <v>519</v>
      </c>
      <c r="E213" s="89" t="s">
        <v>443</v>
      </c>
      <c r="F213" s="89" t="s">
        <v>299</v>
      </c>
      <c r="G213" s="90" t="s">
        <v>336</v>
      </c>
      <c r="H213" s="90" t="s">
        <v>335</v>
      </c>
      <c r="I213" s="90" t="s">
        <v>261</v>
      </c>
      <c r="J213" s="91">
        <f>773.1+379.9+93.4</f>
        <v>1246.4000000000001</v>
      </c>
      <c r="K213" s="111">
        <f>S213*6</f>
        <v>484061.87520000013</v>
      </c>
      <c r="L213" s="111">
        <f>S213*3</f>
        <v>242030.93760000006</v>
      </c>
      <c r="M213" s="49" t="s">
        <v>10</v>
      </c>
      <c r="N213" s="79" t="s">
        <v>457</v>
      </c>
      <c r="O213" s="60"/>
      <c r="P213" s="115" t="s">
        <v>336</v>
      </c>
      <c r="Q213" s="46"/>
      <c r="R213" s="265"/>
      <c r="S213" s="94">
        <f>14.5*J213*1.2*(1+1.2+0.9)*1.2</f>
        <v>80676.979200000016</v>
      </c>
      <c r="T213" s="235"/>
    </row>
    <row r="214" spans="1:20" s="264" customFormat="1" ht="20.399999999999999" x14ac:dyDescent="0.2">
      <c r="A214" s="89"/>
      <c r="B214" s="100"/>
      <c r="C214" s="100"/>
      <c r="D214" s="100"/>
      <c r="E214" s="89"/>
      <c r="F214" s="89"/>
      <c r="G214" s="100"/>
      <c r="H214" s="100"/>
      <c r="I214" s="100"/>
      <c r="J214" s="100"/>
      <c r="K214" s="175"/>
      <c r="L214" s="175"/>
      <c r="M214" s="49" t="s">
        <v>11</v>
      </c>
      <c r="N214" s="61"/>
      <c r="O214" s="62"/>
      <c r="P214" s="175"/>
      <c r="Q214" s="40"/>
      <c r="R214" s="265"/>
      <c r="S214" s="94"/>
      <c r="T214" s="235"/>
    </row>
    <row r="215" spans="1:20" s="264" customFormat="1" x14ac:dyDescent="0.2">
      <c r="A215" s="89"/>
      <c r="B215" s="100"/>
      <c r="C215" s="100"/>
      <c r="D215" s="100"/>
      <c r="E215" s="89"/>
      <c r="F215" s="89"/>
      <c r="G215" s="100"/>
      <c r="H215" s="100"/>
      <c r="I215" s="100"/>
      <c r="J215" s="100"/>
      <c r="K215" s="175"/>
      <c r="L215" s="175"/>
      <c r="M215" s="49" t="s">
        <v>12</v>
      </c>
      <c r="N215" s="61"/>
      <c r="O215" s="62"/>
      <c r="P215" s="175"/>
      <c r="Q215" s="40"/>
      <c r="R215" s="265"/>
      <c r="S215" s="94"/>
      <c r="T215" s="235"/>
    </row>
    <row r="216" spans="1:20" s="264" customFormat="1" x14ac:dyDescent="0.2">
      <c r="A216" s="89"/>
      <c r="B216" s="100"/>
      <c r="C216" s="100"/>
      <c r="D216" s="100"/>
      <c r="E216" s="89"/>
      <c r="F216" s="89"/>
      <c r="G216" s="100"/>
      <c r="H216" s="100"/>
      <c r="I216" s="100"/>
      <c r="J216" s="100"/>
      <c r="K216" s="175"/>
      <c r="L216" s="175"/>
      <c r="M216" s="49" t="s">
        <v>13</v>
      </c>
      <c r="N216" s="61"/>
      <c r="O216" s="62"/>
      <c r="P216" s="175"/>
      <c r="Q216" s="40"/>
      <c r="R216" s="265"/>
      <c r="S216" s="94"/>
      <c r="T216" s="235"/>
    </row>
    <row r="217" spans="1:20" s="264" customFormat="1" x14ac:dyDescent="0.2">
      <c r="A217" s="89"/>
      <c r="B217" s="100"/>
      <c r="C217" s="100"/>
      <c r="D217" s="100"/>
      <c r="E217" s="89"/>
      <c r="F217" s="89"/>
      <c r="G217" s="100"/>
      <c r="H217" s="100"/>
      <c r="I217" s="100"/>
      <c r="J217" s="100"/>
      <c r="K217" s="175"/>
      <c r="L217" s="175"/>
      <c r="M217" s="49" t="s">
        <v>14</v>
      </c>
      <c r="N217" s="61"/>
      <c r="O217" s="62"/>
      <c r="P217" s="175"/>
      <c r="Q217" s="40"/>
      <c r="R217" s="265"/>
      <c r="S217" s="94"/>
      <c r="T217" s="235"/>
    </row>
    <row r="218" spans="1:20" s="264" customFormat="1" x14ac:dyDescent="0.2">
      <c r="A218" s="89"/>
      <c r="B218" s="100"/>
      <c r="C218" s="100"/>
      <c r="D218" s="100"/>
      <c r="E218" s="89"/>
      <c r="F218" s="89"/>
      <c r="G218" s="100"/>
      <c r="H218" s="100"/>
      <c r="I218" s="100"/>
      <c r="J218" s="100"/>
      <c r="K218" s="175"/>
      <c r="L218" s="175"/>
      <c r="M218" s="49" t="s">
        <v>533</v>
      </c>
      <c r="N218" s="89" t="s">
        <v>485</v>
      </c>
      <c r="O218" s="89"/>
      <c r="P218" s="175"/>
      <c r="Q218" s="41"/>
      <c r="R218" s="265"/>
      <c r="S218" s="94"/>
      <c r="T218" s="235"/>
    </row>
    <row r="219" spans="1:20" s="264" customFormat="1" ht="10.199999999999999" x14ac:dyDescent="0.2">
      <c r="A219" s="89">
        <f>A213+1</f>
        <v>36</v>
      </c>
      <c r="B219" s="134">
        <v>44034</v>
      </c>
      <c r="C219" s="134">
        <v>45082</v>
      </c>
      <c r="D219" s="89" t="s">
        <v>262</v>
      </c>
      <c r="E219" s="89" t="s">
        <v>443</v>
      </c>
      <c r="F219" s="89" t="s">
        <v>299</v>
      </c>
      <c r="G219" s="89" t="s">
        <v>263</v>
      </c>
      <c r="H219" s="89" t="s">
        <v>337</v>
      </c>
      <c r="I219" s="89" t="s">
        <v>264</v>
      </c>
      <c r="J219" s="89">
        <v>891.64</v>
      </c>
      <c r="K219" s="111">
        <f>S219*6</f>
        <v>346284.44352000003</v>
      </c>
      <c r="L219" s="111">
        <f>S219*3</f>
        <v>173142.22176000001</v>
      </c>
      <c r="M219" s="49" t="s">
        <v>10</v>
      </c>
      <c r="N219" s="24">
        <v>3751.32</v>
      </c>
      <c r="O219" s="24">
        <v>3751.32</v>
      </c>
      <c r="P219" s="111" t="s">
        <v>626</v>
      </c>
      <c r="Q219" s="58" t="s">
        <v>499</v>
      </c>
      <c r="R219" s="265"/>
      <c r="S219" s="94">
        <f>14.5*J219*1.2*(1+1.2+0.9)*1.2</f>
        <v>57714.073920000003</v>
      </c>
      <c r="T219" s="235"/>
    </row>
    <row r="220" spans="1:20" s="264" customFormat="1" ht="20.399999999999999" x14ac:dyDescent="0.2">
      <c r="A220" s="89"/>
      <c r="B220" s="100"/>
      <c r="C220" s="100"/>
      <c r="D220" s="100"/>
      <c r="E220" s="89"/>
      <c r="F220" s="89"/>
      <c r="G220" s="100"/>
      <c r="H220" s="100"/>
      <c r="I220" s="100"/>
      <c r="J220" s="100"/>
      <c r="K220" s="175"/>
      <c r="L220" s="175"/>
      <c r="M220" s="49" t="s">
        <v>11</v>
      </c>
      <c r="N220" s="24">
        <v>979.98</v>
      </c>
      <c r="O220" s="24">
        <v>979.98</v>
      </c>
      <c r="P220" s="175"/>
      <c r="Q220" s="71"/>
      <c r="R220" s="265"/>
      <c r="S220" s="94"/>
      <c r="T220" s="235"/>
    </row>
    <row r="221" spans="1:20" s="264" customFormat="1" ht="10.199999999999999" x14ac:dyDescent="0.2">
      <c r="A221" s="89"/>
      <c r="B221" s="100"/>
      <c r="C221" s="100"/>
      <c r="D221" s="100"/>
      <c r="E221" s="89"/>
      <c r="F221" s="89"/>
      <c r="G221" s="100"/>
      <c r="H221" s="100"/>
      <c r="I221" s="100"/>
      <c r="J221" s="100"/>
      <c r="K221" s="175"/>
      <c r="L221" s="175"/>
      <c r="M221" s="49" t="s">
        <v>12</v>
      </c>
      <c r="N221" s="24">
        <v>0</v>
      </c>
      <c r="O221" s="24">
        <v>0</v>
      </c>
      <c r="P221" s="175"/>
      <c r="Q221" s="71"/>
      <c r="R221" s="265"/>
      <c r="S221" s="94"/>
      <c r="T221" s="235"/>
    </row>
    <row r="222" spans="1:20" s="264" customFormat="1" ht="10.199999999999999" x14ac:dyDescent="0.2">
      <c r="A222" s="89"/>
      <c r="B222" s="100"/>
      <c r="C222" s="100"/>
      <c r="D222" s="100"/>
      <c r="E222" s="89"/>
      <c r="F222" s="89"/>
      <c r="G222" s="100"/>
      <c r="H222" s="100"/>
      <c r="I222" s="100"/>
      <c r="J222" s="100"/>
      <c r="K222" s="175"/>
      <c r="L222" s="175"/>
      <c r="M222" s="49" t="s">
        <v>13</v>
      </c>
      <c r="N222" s="24">
        <v>3162.86</v>
      </c>
      <c r="O222" s="24">
        <v>0</v>
      </c>
      <c r="P222" s="175"/>
      <c r="Q222" s="71"/>
      <c r="R222" s="265"/>
      <c r="S222" s="94"/>
      <c r="T222" s="235"/>
    </row>
    <row r="223" spans="1:20" s="264" customFormat="1" ht="10.199999999999999" x14ac:dyDescent="0.2">
      <c r="A223" s="89"/>
      <c r="B223" s="100"/>
      <c r="C223" s="100"/>
      <c r="D223" s="100"/>
      <c r="E223" s="89"/>
      <c r="F223" s="89"/>
      <c r="G223" s="100"/>
      <c r="H223" s="100"/>
      <c r="I223" s="100"/>
      <c r="J223" s="100"/>
      <c r="K223" s="175"/>
      <c r="L223" s="175"/>
      <c r="M223" s="49" t="s">
        <v>14</v>
      </c>
      <c r="N223" s="24">
        <v>646.12</v>
      </c>
      <c r="O223" s="24">
        <v>646.12</v>
      </c>
      <c r="P223" s="175"/>
      <c r="Q223" s="71"/>
      <c r="R223" s="265"/>
      <c r="S223" s="94"/>
      <c r="T223" s="235"/>
    </row>
    <row r="224" spans="1:20" s="264" customFormat="1" ht="10.199999999999999" x14ac:dyDescent="0.2">
      <c r="A224" s="89"/>
      <c r="B224" s="100"/>
      <c r="C224" s="100"/>
      <c r="D224" s="100"/>
      <c r="E224" s="89"/>
      <c r="F224" s="89"/>
      <c r="G224" s="100"/>
      <c r="H224" s="100"/>
      <c r="I224" s="100"/>
      <c r="J224" s="100"/>
      <c r="K224" s="175"/>
      <c r="L224" s="175"/>
      <c r="M224" s="252" t="s">
        <v>533</v>
      </c>
      <c r="N224" s="89" t="s">
        <v>485</v>
      </c>
      <c r="O224" s="89"/>
      <c r="P224" s="175"/>
      <c r="Q224" s="87"/>
      <c r="R224" s="265"/>
      <c r="S224" s="94"/>
      <c r="T224" s="235"/>
    </row>
    <row r="225" spans="1:20" s="264" customFormat="1" ht="10.199999999999999" x14ac:dyDescent="0.2">
      <c r="A225" s="89">
        <f>A219+1</f>
        <v>37</v>
      </c>
      <c r="B225" s="134">
        <v>43984</v>
      </c>
      <c r="C225" s="134">
        <v>45078</v>
      </c>
      <c r="D225" s="89" t="s">
        <v>265</v>
      </c>
      <c r="E225" s="89" t="s">
        <v>443</v>
      </c>
      <c r="F225" s="89" t="s">
        <v>299</v>
      </c>
      <c r="G225" s="89" t="s">
        <v>266</v>
      </c>
      <c r="H225" s="89" t="s">
        <v>505</v>
      </c>
      <c r="I225" s="89" t="s">
        <v>260</v>
      </c>
      <c r="J225" s="89">
        <v>53.5</v>
      </c>
      <c r="K225" s="111">
        <f>S225*6</f>
        <v>20777.687999999998</v>
      </c>
      <c r="L225" s="111">
        <f>S225*3</f>
        <v>10388.843999999999</v>
      </c>
      <c r="M225" s="93" t="s">
        <v>10</v>
      </c>
      <c r="N225" s="290">
        <v>862.18</v>
      </c>
      <c r="O225" s="290">
        <v>165.3</v>
      </c>
      <c r="P225" s="117" t="s">
        <v>497</v>
      </c>
      <c r="Q225" s="124"/>
      <c r="R225" s="265"/>
      <c r="S225" s="94">
        <f>14.5*J225*1.2*(1+1.2+0.9)*1.2</f>
        <v>3462.9479999999999</v>
      </c>
      <c r="T225" s="235"/>
    </row>
    <row r="226" spans="1:20" s="264" customFormat="1" ht="10.199999999999999" x14ac:dyDescent="0.2">
      <c r="A226" s="89"/>
      <c r="B226" s="100"/>
      <c r="C226" s="100"/>
      <c r="D226" s="100"/>
      <c r="E226" s="89"/>
      <c r="F226" s="89"/>
      <c r="G226" s="100"/>
      <c r="H226" s="100"/>
      <c r="I226" s="100"/>
      <c r="J226" s="100"/>
      <c r="K226" s="175"/>
      <c r="L226" s="175"/>
      <c r="M226" s="116"/>
      <c r="N226" s="168"/>
      <c r="O226" s="168"/>
      <c r="P226" s="172"/>
      <c r="Q226" s="92"/>
      <c r="R226" s="265"/>
      <c r="S226" s="94"/>
      <c r="T226" s="235"/>
    </row>
    <row r="227" spans="1:20" s="264" customFormat="1" ht="10.199999999999999" x14ac:dyDescent="0.2">
      <c r="A227" s="89"/>
      <c r="B227" s="100"/>
      <c r="C227" s="100"/>
      <c r="D227" s="100"/>
      <c r="E227" s="89"/>
      <c r="F227" s="89"/>
      <c r="G227" s="100"/>
      <c r="H227" s="100"/>
      <c r="I227" s="100"/>
      <c r="J227" s="100"/>
      <c r="K227" s="175"/>
      <c r="L227" s="175"/>
      <c r="M227" s="93" t="s">
        <v>11</v>
      </c>
      <c r="N227" s="290">
        <v>93.68</v>
      </c>
      <c r="O227" s="290">
        <v>46.91</v>
      </c>
      <c r="P227" s="172"/>
      <c r="Q227" s="92"/>
      <c r="R227" s="265"/>
      <c r="S227" s="94"/>
      <c r="T227" s="235"/>
    </row>
    <row r="228" spans="1:20" s="264" customFormat="1" ht="10.199999999999999" x14ac:dyDescent="0.2">
      <c r="A228" s="89"/>
      <c r="B228" s="100"/>
      <c r="C228" s="100"/>
      <c r="D228" s="100"/>
      <c r="E228" s="89"/>
      <c r="F228" s="89"/>
      <c r="G228" s="100"/>
      <c r="H228" s="100"/>
      <c r="I228" s="100"/>
      <c r="J228" s="100"/>
      <c r="K228" s="175"/>
      <c r="L228" s="175"/>
      <c r="M228" s="116"/>
      <c r="N228" s="168"/>
      <c r="O228" s="168"/>
      <c r="P228" s="172"/>
      <c r="Q228" s="92"/>
      <c r="R228" s="265"/>
      <c r="S228" s="94"/>
      <c r="T228" s="235"/>
    </row>
    <row r="229" spans="1:20" s="264" customFormat="1" ht="10.199999999999999" x14ac:dyDescent="0.2">
      <c r="A229" s="89"/>
      <c r="B229" s="100"/>
      <c r="C229" s="100"/>
      <c r="D229" s="100"/>
      <c r="E229" s="89"/>
      <c r="F229" s="89"/>
      <c r="G229" s="100"/>
      <c r="H229" s="100"/>
      <c r="I229" s="100"/>
      <c r="J229" s="100"/>
      <c r="K229" s="175"/>
      <c r="L229" s="175"/>
      <c r="M229" s="93" t="s">
        <v>13</v>
      </c>
      <c r="N229" s="290">
        <v>7523</v>
      </c>
      <c r="O229" s="290">
        <v>0</v>
      </c>
      <c r="P229" s="172"/>
      <c r="Q229" s="78"/>
      <c r="R229" s="265"/>
      <c r="S229" s="94"/>
      <c r="T229" s="235"/>
    </row>
    <row r="230" spans="1:20" s="264" customFormat="1" ht="10.199999999999999" x14ac:dyDescent="0.2">
      <c r="A230" s="89">
        <f>A225+1</f>
        <v>38</v>
      </c>
      <c r="B230" s="95">
        <v>44448</v>
      </c>
      <c r="C230" s="95">
        <v>45543</v>
      </c>
      <c r="D230" s="58" t="s">
        <v>267</v>
      </c>
      <c r="E230" s="89" t="s">
        <v>443</v>
      </c>
      <c r="F230" s="89" t="s">
        <v>299</v>
      </c>
      <c r="G230" s="89" t="s">
        <v>266</v>
      </c>
      <c r="H230" s="58" t="s">
        <v>338</v>
      </c>
      <c r="I230" s="58" t="s">
        <v>260</v>
      </c>
      <c r="J230" s="67">
        <v>73</v>
      </c>
      <c r="K230" s="111">
        <f>S230*6</f>
        <v>28350.864000000001</v>
      </c>
      <c r="L230" s="111">
        <f>S230*3</f>
        <v>14175.432000000001</v>
      </c>
      <c r="M230" s="116"/>
      <c r="N230" s="168"/>
      <c r="O230" s="168"/>
      <c r="P230" s="172"/>
      <c r="Q230" s="124"/>
      <c r="R230" s="265"/>
      <c r="S230" s="94">
        <f>14.5*J230*1.2*(1+1.2+0.9)*1.2</f>
        <v>4725.1440000000002</v>
      </c>
      <c r="T230" s="235"/>
    </row>
    <row r="231" spans="1:20" s="264" customFormat="1" ht="10.199999999999999" x14ac:dyDescent="0.2">
      <c r="A231" s="89"/>
      <c r="B231" s="92"/>
      <c r="C231" s="92"/>
      <c r="D231" s="92"/>
      <c r="E231" s="89"/>
      <c r="F231" s="89"/>
      <c r="G231" s="100"/>
      <c r="H231" s="92"/>
      <c r="I231" s="92"/>
      <c r="J231" s="92"/>
      <c r="K231" s="175"/>
      <c r="L231" s="175"/>
      <c r="M231" s="93" t="s">
        <v>12</v>
      </c>
      <c r="N231" s="290">
        <v>0</v>
      </c>
      <c r="O231" s="290">
        <v>0</v>
      </c>
      <c r="P231" s="172"/>
      <c r="Q231" s="92"/>
      <c r="R231" s="265"/>
      <c r="S231" s="94"/>
      <c r="T231" s="235"/>
    </row>
    <row r="232" spans="1:20" s="264" customFormat="1" ht="10.199999999999999" x14ac:dyDescent="0.2">
      <c r="A232" s="89"/>
      <c r="B232" s="92"/>
      <c r="C232" s="92"/>
      <c r="D232" s="92"/>
      <c r="E232" s="89"/>
      <c r="F232" s="89"/>
      <c r="G232" s="100"/>
      <c r="H232" s="92"/>
      <c r="I232" s="92"/>
      <c r="J232" s="92"/>
      <c r="K232" s="175"/>
      <c r="L232" s="175"/>
      <c r="M232" s="116"/>
      <c r="N232" s="168"/>
      <c r="O232" s="168"/>
      <c r="P232" s="172"/>
      <c r="Q232" s="92"/>
      <c r="R232" s="265"/>
      <c r="S232" s="94"/>
      <c r="T232" s="235"/>
    </row>
    <row r="233" spans="1:20" s="264" customFormat="1" ht="10.199999999999999" x14ac:dyDescent="0.2">
      <c r="A233" s="89"/>
      <c r="B233" s="92"/>
      <c r="C233" s="92"/>
      <c r="D233" s="92"/>
      <c r="E233" s="89"/>
      <c r="F233" s="89"/>
      <c r="G233" s="100"/>
      <c r="H233" s="92"/>
      <c r="I233" s="92"/>
      <c r="J233" s="92"/>
      <c r="K233" s="175"/>
      <c r="L233" s="175"/>
      <c r="M233" s="178" t="s">
        <v>14</v>
      </c>
      <c r="N233" s="290">
        <v>54.88</v>
      </c>
      <c r="O233" s="290">
        <v>54.48</v>
      </c>
      <c r="P233" s="172"/>
      <c r="Q233" s="92"/>
      <c r="R233" s="265"/>
      <c r="S233" s="94"/>
      <c r="T233" s="235"/>
    </row>
    <row r="234" spans="1:20" s="264" customFormat="1" ht="10.199999999999999" x14ac:dyDescent="0.2">
      <c r="A234" s="89"/>
      <c r="B234" s="92"/>
      <c r="C234" s="92"/>
      <c r="D234" s="92"/>
      <c r="E234" s="89"/>
      <c r="F234" s="89"/>
      <c r="G234" s="100"/>
      <c r="H234" s="92"/>
      <c r="I234" s="92"/>
      <c r="J234" s="92"/>
      <c r="K234" s="175"/>
      <c r="L234" s="175"/>
      <c r="M234" s="179"/>
      <c r="N234" s="168"/>
      <c r="O234" s="168"/>
      <c r="P234" s="172"/>
      <c r="Q234" s="92"/>
      <c r="R234" s="265"/>
      <c r="S234" s="94"/>
      <c r="T234" s="235"/>
    </row>
    <row r="235" spans="1:20" s="264" customFormat="1" ht="10.199999999999999" x14ac:dyDescent="0.2">
      <c r="A235" s="89"/>
      <c r="B235" s="92"/>
      <c r="C235" s="92"/>
      <c r="D235" s="92"/>
      <c r="E235" s="89"/>
      <c r="F235" s="89"/>
      <c r="G235" s="100"/>
      <c r="H235" s="92"/>
      <c r="I235" s="92"/>
      <c r="J235" s="92"/>
      <c r="K235" s="175"/>
      <c r="L235" s="175"/>
      <c r="M235" s="178" t="s">
        <v>533</v>
      </c>
      <c r="N235" s="59" t="s">
        <v>485</v>
      </c>
      <c r="O235" s="60"/>
      <c r="P235" s="172"/>
      <c r="Q235" s="92"/>
      <c r="R235" s="265"/>
      <c r="S235" s="94"/>
      <c r="T235" s="235"/>
    </row>
    <row r="236" spans="1:20" s="264" customFormat="1" ht="10.199999999999999" x14ac:dyDescent="0.2">
      <c r="A236" s="89"/>
      <c r="B236" s="92"/>
      <c r="C236" s="92"/>
      <c r="D236" s="92"/>
      <c r="E236" s="89"/>
      <c r="F236" s="89"/>
      <c r="G236" s="100"/>
      <c r="H236" s="92"/>
      <c r="I236" s="92"/>
      <c r="J236" s="92"/>
      <c r="K236" s="175"/>
      <c r="L236" s="175"/>
      <c r="M236" s="179"/>
      <c r="N236" s="121"/>
      <c r="O236" s="81"/>
      <c r="P236" s="291"/>
      <c r="Q236" s="78"/>
      <c r="R236" s="265"/>
      <c r="S236" s="94"/>
      <c r="T236" s="235"/>
    </row>
    <row r="237" spans="1:20" s="264" customFormat="1" ht="10.199999999999999" x14ac:dyDescent="0.2">
      <c r="A237" s="89">
        <f>A230+1</f>
        <v>39</v>
      </c>
      <c r="B237" s="88">
        <v>45079</v>
      </c>
      <c r="C237" s="88">
        <v>46840</v>
      </c>
      <c r="D237" s="89" t="s">
        <v>627</v>
      </c>
      <c r="E237" s="89" t="s">
        <v>443</v>
      </c>
      <c r="F237" s="89" t="s">
        <v>299</v>
      </c>
      <c r="G237" s="89" t="s">
        <v>74</v>
      </c>
      <c r="H237" s="89" t="s">
        <v>339</v>
      </c>
      <c r="I237" s="89" t="s">
        <v>273</v>
      </c>
      <c r="J237" s="89">
        <v>14.9</v>
      </c>
      <c r="K237" s="111">
        <f>S237*6</f>
        <v>5786.6831999999995</v>
      </c>
      <c r="L237" s="111">
        <f>S237*3</f>
        <v>2893.3415999999997</v>
      </c>
      <c r="M237" s="11" t="s">
        <v>10</v>
      </c>
      <c r="N237" s="292">
        <v>654.25</v>
      </c>
      <c r="O237" s="292">
        <v>141.53</v>
      </c>
      <c r="P237" s="111" t="s">
        <v>74</v>
      </c>
      <c r="Q237" s="124"/>
      <c r="R237" s="265"/>
      <c r="S237" s="94">
        <f>(14.5*J237*1.2*(1+1.2+0.9)*1.2)</f>
        <v>964.44719999999995</v>
      </c>
      <c r="T237" s="235"/>
    </row>
    <row r="238" spans="1:20" s="264" customFormat="1" ht="20.399999999999999" x14ac:dyDescent="0.2">
      <c r="A238" s="89"/>
      <c r="B238" s="100"/>
      <c r="C238" s="100"/>
      <c r="D238" s="100"/>
      <c r="E238" s="89"/>
      <c r="F238" s="89"/>
      <c r="G238" s="100"/>
      <c r="H238" s="100"/>
      <c r="I238" s="176"/>
      <c r="J238" s="100"/>
      <c r="K238" s="175"/>
      <c r="L238" s="175"/>
      <c r="M238" s="49" t="s">
        <v>11</v>
      </c>
      <c r="N238" s="24">
        <v>132.08000000000001</v>
      </c>
      <c r="O238" s="24">
        <v>34.53</v>
      </c>
      <c r="P238" s="175"/>
      <c r="Q238" s="92"/>
      <c r="R238" s="265"/>
      <c r="S238" s="94"/>
      <c r="T238" s="235"/>
    </row>
    <row r="239" spans="1:20" s="264" customFormat="1" ht="10.199999999999999" x14ac:dyDescent="0.2">
      <c r="A239" s="89"/>
      <c r="B239" s="100"/>
      <c r="C239" s="100"/>
      <c r="D239" s="100"/>
      <c r="E239" s="89"/>
      <c r="F239" s="89"/>
      <c r="G239" s="100"/>
      <c r="H239" s="100"/>
      <c r="I239" s="176"/>
      <c r="J239" s="100"/>
      <c r="K239" s="175"/>
      <c r="L239" s="175"/>
      <c r="M239" s="49" t="s">
        <v>12</v>
      </c>
      <c r="N239" s="24">
        <v>0</v>
      </c>
      <c r="O239" s="24">
        <v>0</v>
      </c>
      <c r="P239" s="175"/>
      <c r="Q239" s="92"/>
      <c r="R239" s="265"/>
      <c r="S239" s="94"/>
      <c r="T239" s="235"/>
    </row>
    <row r="240" spans="1:20" s="264" customFormat="1" ht="10.199999999999999" x14ac:dyDescent="0.2">
      <c r="A240" s="89"/>
      <c r="B240" s="100"/>
      <c r="C240" s="100"/>
      <c r="D240" s="100"/>
      <c r="E240" s="89"/>
      <c r="F240" s="89"/>
      <c r="G240" s="100"/>
      <c r="H240" s="100"/>
      <c r="I240" s="176"/>
      <c r="J240" s="100"/>
      <c r="K240" s="175"/>
      <c r="L240" s="175"/>
      <c r="M240" s="49" t="s">
        <v>13</v>
      </c>
      <c r="N240" s="24">
        <v>469.16</v>
      </c>
      <c r="O240" s="24">
        <v>42.32</v>
      </c>
      <c r="P240" s="175"/>
      <c r="Q240" s="92"/>
      <c r="R240" s="265"/>
      <c r="S240" s="94"/>
      <c r="T240" s="235"/>
    </row>
    <row r="241" spans="1:20" s="264" customFormat="1" ht="10.199999999999999" x14ac:dyDescent="0.2">
      <c r="A241" s="89"/>
      <c r="B241" s="100"/>
      <c r="C241" s="100"/>
      <c r="D241" s="100"/>
      <c r="E241" s="89"/>
      <c r="F241" s="89"/>
      <c r="G241" s="100"/>
      <c r="H241" s="100"/>
      <c r="I241" s="176"/>
      <c r="J241" s="100"/>
      <c r="K241" s="175"/>
      <c r="L241" s="175"/>
      <c r="M241" s="49" t="s">
        <v>14</v>
      </c>
      <c r="N241" s="24">
        <v>71.989999999999995</v>
      </c>
      <c r="O241" s="24">
        <v>20.07</v>
      </c>
      <c r="P241" s="175"/>
      <c r="Q241" s="92"/>
      <c r="R241" s="265"/>
      <c r="S241" s="94"/>
      <c r="T241" s="235"/>
    </row>
    <row r="242" spans="1:20" s="264" customFormat="1" ht="10.199999999999999" x14ac:dyDescent="0.2">
      <c r="A242" s="89"/>
      <c r="B242" s="100"/>
      <c r="C242" s="100"/>
      <c r="D242" s="100"/>
      <c r="E242" s="89"/>
      <c r="F242" s="89"/>
      <c r="G242" s="100"/>
      <c r="H242" s="100"/>
      <c r="I242" s="176"/>
      <c r="J242" s="100"/>
      <c r="K242" s="175"/>
      <c r="L242" s="175"/>
      <c r="M242" s="252" t="s">
        <v>533</v>
      </c>
      <c r="N242" s="89" t="s">
        <v>485</v>
      </c>
      <c r="O242" s="89"/>
      <c r="P242" s="175"/>
      <c r="Q242" s="78"/>
      <c r="R242" s="265"/>
      <c r="S242" s="94"/>
      <c r="T242" s="235"/>
    </row>
    <row r="243" spans="1:20" s="264" customFormat="1" ht="10.199999999999999" x14ac:dyDescent="0.2">
      <c r="A243" s="89">
        <f>A237+1</f>
        <v>40</v>
      </c>
      <c r="B243" s="88">
        <v>43311</v>
      </c>
      <c r="C243" s="88">
        <v>45136</v>
      </c>
      <c r="D243" s="89" t="s">
        <v>274</v>
      </c>
      <c r="E243" s="89" t="s">
        <v>443</v>
      </c>
      <c r="F243" s="89" t="s">
        <v>299</v>
      </c>
      <c r="G243" s="90" t="s">
        <v>252</v>
      </c>
      <c r="H243" s="90" t="s">
        <v>494</v>
      </c>
      <c r="I243" s="89" t="s">
        <v>144</v>
      </c>
      <c r="J243" s="91">
        <v>31.2</v>
      </c>
      <c r="K243" s="111">
        <f>S243*6</f>
        <v>5276.7936</v>
      </c>
      <c r="L243" s="111">
        <f>S243*3</f>
        <v>2638.3968</v>
      </c>
      <c r="M243" s="49" t="s">
        <v>10</v>
      </c>
      <c r="N243" s="24">
        <v>0</v>
      </c>
      <c r="O243" s="24">
        <v>0</v>
      </c>
      <c r="P243" s="115" t="s">
        <v>252</v>
      </c>
      <c r="Q243" s="124"/>
      <c r="R243" s="265"/>
      <c r="S243" s="94">
        <f>(14.5*31.2*1.2*(1+1.2+0.5)*0.6)</f>
        <v>879.46559999999999</v>
      </c>
      <c r="T243" s="235"/>
    </row>
    <row r="244" spans="1:20" s="264" customFormat="1" ht="20.399999999999999" x14ac:dyDescent="0.2">
      <c r="A244" s="89"/>
      <c r="B244" s="100"/>
      <c r="C244" s="100"/>
      <c r="D244" s="100"/>
      <c r="E244" s="89"/>
      <c r="F244" s="89"/>
      <c r="G244" s="100"/>
      <c r="H244" s="100"/>
      <c r="I244" s="100"/>
      <c r="J244" s="100"/>
      <c r="K244" s="175"/>
      <c r="L244" s="175"/>
      <c r="M244" s="49" t="s">
        <v>11</v>
      </c>
      <c r="N244" s="24">
        <v>0</v>
      </c>
      <c r="O244" s="24">
        <v>0</v>
      </c>
      <c r="P244" s="175"/>
      <c r="Q244" s="92"/>
      <c r="R244" s="265"/>
      <c r="S244" s="94"/>
      <c r="T244" s="235"/>
    </row>
    <row r="245" spans="1:20" s="264" customFormat="1" ht="10.199999999999999" x14ac:dyDescent="0.2">
      <c r="A245" s="89"/>
      <c r="B245" s="100"/>
      <c r="C245" s="100"/>
      <c r="D245" s="100"/>
      <c r="E245" s="89"/>
      <c r="F245" s="89"/>
      <c r="G245" s="100"/>
      <c r="H245" s="100"/>
      <c r="I245" s="100"/>
      <c r="J245" s="100"/>
      <c r="K245" s="175"/>
      <c r="L245" s="175"/>
      <c r="M245" s="49" t="s">
        <v>12</v>
      </c>
      <c r="N245" s="24">
        <v>0</v>
      </c>
      <c r="O245" s="24">
        <v>0</v>
      </c>
      <c r="P245" s="175"/>
      <c r="Q245" s="92"/>
      <c r="R245" s="265"/>
      <c r="S245" s="94"/>
      <c r="T245" s="235"/>
    </row>
    <row r="246" spans="1:20" s="264" customFormat="1" ht="10.199999999999999" x14ac:dyDescent="0.2">
      <c r="A246" s="89"/>
      <c r="B246" s="100"/>
      <c r="C246" s="100"/>
      <c r="D246" s="100"/>
      <c r="E246" s="89"/>
      <c r="F246" s="89"/>
      <c r="G246" s="100"/>
      <c r="H246" s="100"/>
      <c r="I246" s="100"/>
      <c r="J246" s="100"/>
      <c r="K246" s="175"/>
      <c r="L246" s="175"/>
      <c r="M246" s="49" t="s">
        <v>13</v>
      </c>
      <c r="N246" s="24">
        <v>287.35000000000002</v>
      </c>
      <c r="O246" s="24">
        <v>0</v>
      </c>
      <c r="P246" s="175"/>
      <c r="Q246" s="92"/>
      <c r="R246" s="265"/>
      <c r="S246" s="94"/>
      <c r="T246" s="235"/>
    </row>
    <row r="247" spans="1:20" s="264" customFormat="1" ht="10.199999999999999" x14ac:dyDescent="0.2">
      <c r="A247" s="89"/>
      <c r="B247" s="100"/>
      <c r="C247" s="100"/>
      <c r="D247" s="100"/>
      <c r="E247" s="89"/>
      <c r="F247" s="89"/>
      <c r="G247" s="100"/>
      <c r="H247" s="100"/>
      <c r="I247" s="100"/>
      <c r="J247" s="100"/>
      <c r="K247" s="175"/>
      <c r="L247" s="175"/>
      <c r="M247" s="49" t="s">
        <v>14</v>
      </c>
      <c r="N247" s="24">
        <v>0</v>
      </c>
      <c r="O247" s="24">
        <v>0</v>
      </c>
      <c r="P247" s="175"/>
      <c r="Q247" s="92"/>
      <c r="R247" s="265"/>
      <c r="S247" s="94"/>
      <c r="T247" s="235"/>
    </row>
    <row r="248" spans="1:20" s="264" customFormat="1" ht="10.199999999999999" x14ac:dyDescent="0.2">
      <c r="A248" s="89"/>
      <c r="B248" s="100"/>
      <c r="C248" s="100"/>
      <c r="D248" s="100"/>
      <c r="E248" s="89"/>
      <c r="F248" s="89"/>
      <c r="G248" s="100"/>
      <c r="H248" s="100"/>
      <c r="I248" s="100"/>
      <c r="J248" s="100"/>
      <c r="K248" s="175"/>
      <c r="L248" s="175"/>
      <c r="M248" s="49" t="s">
        <v>533</v>
      </c>
      <c r="N248" s="89" t="s">
        <v>485</v>
      </c>
      <c r="O248" s="89"/>
      <c r="P248" s="175"/>
      <c r="Q248" s="78"/>
      <c r="R248" s="265"/>
      <c r="S248" s="94"/>
      <c r="T248" s="235"/>
    </row>
    <row r="249" spans="1:20" s="264" customFormat="1" ht="10.199999999999999" x14ac:dyDescent="0.2">
      <c r="A249" s="89">
        <f>A243+1</f>
        <v>41</v>
      </c>
      <c r="B249" s="134">
        <v>44186</v>
      </c>
      <c r="C249" s="134">
        <v>44952</v>
      </c>
      <c r="D249" s="89" t="s">
        <v>289</v>
      </c>
      <c r="E249" s="89" t="s">
        <v>443</v>
      </c>
      <c r="F249" s="89" t="s">
        <v>299</v>
      </c>
      <c r="G249" s="89" t="s">
        <v>290</v>
      </c>
      <c r="H249" s="89" t="s">
        <v>340</v>
      </c>
      <c r="I249" s="89" t="s">
        <v>291</v>
      </c>
      <c r="J249" s="89">
        <v>27.3</v>
      </c>
      <c r="K249" s="111">
        <f>S249*6</f>
        <v>3420.1440000000002</v>
      </c>
      <c r="L249" s="111">
        <f>S249*3</f>
        <v>1710.0720000000001</v>
      </c>
      <c r="M249" s="11" t="s">
        <v>10</v>
      </c>
      <c r="N249" s="292">
        <v>0</v>
      </c>
      <c r="O249" s="292">
        <v>0</v>
      </c>
      <c r="P249" s="111" t="s">
        <v>290</v>
      </c>
      <c r="Q249" s="124"/>
      <c r="R249" s="265"/>
      <c r="S249" s="94">
        <f>14.5*J249*1.2*(1+0.1+0.9)*0.6</f>
        <v>570.024</v>
      </c>
      <c r="T249" s="235"/>
    </row>
    <row r="250" spans="1:20" s="264" customFormat="1" ht="20.399999999999999" x14ac:dyDescent="0.2">
      <c r="A250" s="89"/>
      <c r="B250" s="100"/>
      <c r="C250" s="100"/>
      <c r="D250" s="100"/>
      <c r="E250" s="89"/>
      <c r="F250" s="89"/>
      <c r="G250" s="100"/>
      <c r="H250" s="100"/>
      <c r="I250" s="100"/>
      <c r="J250" s="100"/>
      <c r="K250" s="175"/>
      <c r="L250" s="175"/>
      <c r="M250" s="49" t="s">
        <v>11</v>
      </c>
      <c r="N250" s="24">
        <v>0</v>
      </c>
      <c r="O250" s="24">
        <v>0</v>
      </c>
      <c r="P250" s="175"/>
      <c r="Q250" s="92"/>
      <c r="R250" s="265"/>
      <c r="S250" s="94"/>
      <c r="T250" s="235"/>
    </row>
    <row r="251" spans="1:20" s="264" customFormat="1" ht="10.199999999999999" x14ac:dyDescent="0.2">
      <c r="A251" s="89"/>
      <c r="B251" s="100"/>
      <c r="C251" s="100"/>
      <c r="D251" s="100"/>
      <c r="E251" s="89"/>
      <c r="F251" s="89"/>
      <c r="G251" s="100"/>
      <c r="H251" s="100"/>
      <c r="I251" s="100"/>
      <c r="J251" s="100"/>
      <c r="K251" s="175"/>
      <c r="L251" s="175"/>
      <c r="M251" s="51" t="s">
        <v>12</v>
      </c>
      <c r="N251" s="253">
        <v>0</v>
      </c>
      <c r="O251" s="253">
        <v>0</v>
      </c>
      <c r="P251" s="175"/>
      <c r="Q251" s="92"/>
      <c r="R251" s="265"/>
      <c r="S251" s="94"/>
      <c r="T251" s="235"/>
    </row>
    <row r="252" spans="1:20" s="264" customFormat="1" ht="10.199999999999999" x14ac:dyDescent="0.2">
      <c r="A252" s="89"/>
      <c r="B252" s="100"/>
      <c r="C252" s="100"/>
      <c r="D252" s="100"/>
      <c r="E252" s="89"/>
      <c r="F252" s="89"/>
      <c r="G252" s="100"/>
      <c r="H252" s="100"/>
      <c r="I252" s="100"/>
      <c r="J252" s="100"/>
      <c r="K252" s="175"/>
      <c r="L252" s="175"/>
      <c r="M252" s="49" t="s">
        <v>13</v>
      </c>
      <c r="N252" s="24">
        <v>0</v>
      </c>
      <c r="O252" s="24">
        <v>0</v>
      </c>
      <c r="P252" s="175"/>
      <c r="Q252" s="92"/>
      <c r="R252" s="265"/>
      <c r="S252" s="94"/>
      <c r="T252" s="235"/>
    </row>
    <row r="253" spans="1:20" s="264" customFormat="1" ht="10.199999999999999" x14ac:dyDescent="0.2">
      <c r="A253" s="89"/>
      <c r="B253" s="100"/>
      <c r="C253" s="100"/>
      <c r="D253" s="100"/>
      <c r="E253" s="89"/>
      <c r="F253" s="89"/>
      <c r="G253" s="100"/>
      <c r="H253" s="100"/>
      <c r="I253" s="100"/>
      <c r="J253" s="100"/>
      <c r="K253" s="175"/>
      <c r="L253" s="175"/>
      <c r="M253" s="49" t="s">
        <v>14</v>
      </c>
      <c r="N253" s="24">
        <v>0</v>
      </c>
      <c r="O253" s="24">
        <v>0</v>
      </c>
      <c r="P253" s="175"/>
      <c r="Q253" s="92"/>
      <c r="R253" s="265"/>
      <c r="S253" s="94"/>
      <c r="T253" s="235"/>
    </row>
    <row r="254" spans="1:20" s="264" customFormat="1" ht="10.199999999999999" x14ac:dyDescent="0.2">
      <c r="A254" s="89"/>
      <c r="B254" s="100"/>
      <c r="C254" s="100"/>
      <c r="D254" s="100"/>
      <c r="E254" s="89"/>
      <c r="F254" s="89"/>
      <c r="G254" s="100"/>
      <c r="H254" s="100"/>
      <c r="I254" s="100"/>
      <c r="J254" s="100"/>
      <c r="K254" s="175"/>
      <c r="L254" s="175"/>
      <c r="M254" s="49" t="s">
        <v>533</v>
      </c>
      <c r="N254" s="89" t="s">
        <v>485</v>
      </c>
      <c r="O254" s="89"/>
      <c r="P254" s="175"/>
      <c r="Q254" s="78"/>
      <c r="R254" s="265"/>
      <c r="S254" s="94"/>
      <c r="T254" s="235"/>
    </row>
    <row r="255" spans="1:20" s="264" customFormat="1" ht="10.199999999999999" x14ac:dyDescent="0.2">
      <c r="A255" s="89">
        <f>A249+1</f>
        <v>42</v>
      </c>
      <c r="B255" s="134">
        <v>44279</v>
      </c>
      <c r="C255" s="134">
        <v>46104</v>
      </c>
      <c r="D255" s="89" t="s">
        <v>292</v>
      </c>
      <c r="E255" s="89" t="s">
        <v>443</v>
      </c>
      <c r="F255" s="89" t="s">
        <v>299</v>
      </c>
      <c r="G255" s="89" t="s">
        <v>282</v>
      </c>
      <c r="H255" s="90" t="s">
        <v>341</v>
      </c>
      <c r="I255" s="89" t="s">
        <v>283</v>
      </c>
      <c r="J255" s="89">
        <v>14.5</v>
      </c>
      <c r="K255" s="111">
        <f>S255*6</f>
        <v>5631.3359999999993</v>
      </c>
      <c r="L255" s="111">
        <f>S255*3</f>
        <v>2815.6679999999997</v>
      </c>
      <c r="M255" s="178" t="s">
        <v>10</v>
      </c>
      <c r="N255" s="182">
        <v>203.1</v>
      </c>
      <c r="O255" s="182">
        <v>203.1</v>
      </c>
      <c r="P255" s="67" t="s">
        <v>282</v>
      </c>
      <c r="Q255" s="124"/>
      <c r="R255" s="265"/>
      <c r="S255" s="94">
        <f>14.5*J255*1.2*(1+1.2+0.9)*1.2</f>
        <v>938.55599999999993</v>
      </c>
      <c r="T255" s="235"/>
    </row>
    <row r="256" spans="1:20" s="264" customFormat="1" ht="10.199999999999999" x14ac:dyDescent="0.2">
      <c r="A256" s="89"/>
      <c r="B256" s="100"/>
      <c r="C256" s="100"/>
      <c r="D256" s="100"/>
      <c r="E256" s="89"/>
      <c r="F256" s="89"/>
      <c r="G256" s="100"/>
      <c r="H256" s="100"/>
      <c r="I256" s="100"/>
      <c r="J256" s="100"/>
      <c r="K256" s="175"/>
      <c r="L256" s="175"/>
      <c r="M256" s="179"/>
      <c r="N256" s="183"/>
      <c r="O256" s="183"/>
      <c r="P256" s="98"/>
      <c r="Q256" s="92"/>
      <c r="R256" s="265"/>
      <c r="S256" s="94"/>
      <c r="T256" s="235"/>
    </row>
    <row r="257" spans="1:20" s="264" customFormat="1" ht="10.199999999999999" x14ac:dyDescent="0.2">
      <c r="A257" s="89"/>
      <c r="B257" s="100"/>
      <c r="C257" s="100"/>
      <c r="D257" s="100"/>
      <c r="E257" s="89"/>
      <c r="F257" s="89"/>
      <c r="G257" s="100"/>
      <c r="H257" s="100"/>
      <c r="I257" s="100"/>
      <c r="J257" s="100"/>
      <c r="K257" s="175"/>
      <c r="L257" s="175"/>
      <c r="M257" s="179"/>
      <c r="N257" s="183"/>
      <c r="O257" s="183"/>
      <c r="P257" s="98"/>
      <c r="Q257" s="92"/>
      <c r="R257" s="265"/>
      <c r="S257" s="94"/>
      <c r="T257" s="235"/>
    </row>
    <row r="258" spans="1:20" s="264" customFormat="1" ht="10.199999999999999" x14ac:dyDescent="0.2">
      <c r="A258" s="89"/>
      <c r="B258" s="100"/>
      <c r="C258" s="100"/>
      <c r="D258" s="100"/>
      <c r="E258" s="89"/>
      <c r="F258" s="89"/>
      <c r="G258" s="100"/>
      <c r="H258" s="100"/>
      <c r="I258" s="100"/>
      <c r="J258" s="100"/>
      <c r="K258" s="175"/>
      <c r="L258" s="175"/>
      <c r="M258" s="180" t="s">
        <v>11</v>
      </c>
      <c r="N258" s="184">
        <v>60.28</v>
      </c>
      <c r="O258" s="184">
        <v>60.28</v>
      </c>
      <c r="P258" s="98"/>
      <c r="Q258" s="92"/>
      <c r="R258" s="265"/>
      <c r="S258" s="94"/>
      <c r="T258" s="235"/>
    </row>
    <row r="259" spans="1:20" s="264" customFormat="1" ht="10.199999999999999" x14ac:dyDescent="0.2">
      <c r="A259" s="89"/>
      <c r="B259" s="100"/>
      <c r="C259" s="100"/>
      <c r="D259" s="100"/>
      <c r="E259" s="89"/>
      <c r="F259" s="89"/>
      <c r="G259" s="100"/>
      <c r="H259" s="100"/>
      <c r="I259" s="100"/>
      <c r="J259" s="100"/>
      <c r="K259" s="175"/>
      <c r="L259" s="175"/>
      <c r="M259" s="181"/>
      <c r="N259" s="185"/>
      <c r="O259" s="185"/>
      <c r="P259" s="98"/>
      <c r="Q259" s="92"/>
      <c r="R259" s="265"/>
      <c r="S259" s="94"/>
      <c r="T259" s="235"/>
    </row>
    <row r="260" spans="1:20" s="264" customFormat="1" ht="10.199999999999999" x14ac:dyDescent="0.2">
      <c r="A260" s="89">
        <f>A255+1</f>
        <v>43</v>
      </c>
      <c r="B260" s="95">
        <v>43692</v>
      </c>
      <c r="C260" s="95">
        <v>45518</v>
      </c>
      <c r="D260" s="58" t="s">
        <v>281</v>
      </c>
      <c r="E260" s="89" t="s">
        <v>443</v>
      </c>
      <c r="F260" s="89" t="s">
        <v>299</v>
      </c>
      <c r="G260" s="58" t="s">
        <v>282</v>
      </c>
      <c r="H260" s="110" t="s">
        <v>439</v>
      </c>
      <c r="I260" s="58" t="s">
        <v>283</v>
      </c>
      <c r="J260" s="58">
        <v>57.5</v>
      </c>
      <c r="K260" s="111">
        <f>S260*6</f>
        <v>22331.16</v>
      </c>
      <c r="L260" s="111">
        <f>S260*3</f>
        <v>11165.58</v>
      </c>
      <c r="M260" s="116"/>
      <c r="N260" s="186"/>
      <c r="O260" s="186"/>
      <c r="P260" s="98"/>
      <c r="Q260" s="92"/>
      <c r="R260" s="282"/>
      <c r="S260" s="94">
        <f>14.5*J260*1.2*(1+1.2+0.9)*1.2</f>
        <v>3721.86</v>
      </c>
      <c r="T260" s="235"/>
    </row>
    <row r="261" spans="1:20" s="264" customFormat="1" ht="10.199999999999999" x14ac:dyDescent="0.2">
      <c r="A261" s="89"/>
      <c r="B261" s="293"/>
      <c r="C261" s="293"/>
      <c r="D261" s="293"/>
      <c r="E261" s="89"/>
      <c r="F261" s="89"/>
      <c r="G261" s="293"/>
      <c r="H261" s="293"/>
      <c r="I261" s="293"/>
      <c r="J261" s="293"/>
      <c r="K261" s="175"/>
      <c r="L261" s="175"/>
      <c r="M261" s="164" t="s">
        <v>12</v>
      </c>
      <c r="N261" s="166">
        <v>0</v>
      </c>
      <c r="O261" s="166">
        <v>0</v>
      </c>
      <c r="P261" s="98"/>
      <c r="Q261" s="92"/>
      <c r="R261" s="282"/>
      <c r="S261" s="94"/>
      <c r="T261" s="235"/>
    </row>
    <row r="262" spans="1:20" s="264" customFormat="1" ht="10.199999999999999" x14ac:dyDescent="0.2">
      <c r="A262" s="89"/>
      <c r="B262" s="293"/>
      <c r="C262" s="293"/>
      <c r="D262" s="293"/>
      <c r="E262" s="89"/>
      <c r="F262" s="89"/>
      <c r="G262" s="293"/>
      <c r="H262" s="293"/>
      <c r="I262" s="293"/>
      <c r="J262" s="293"/>
      <c r="K262" s="175"/>
      <c r="L262" s="175"/>
      <c r="M262" s="165"/>
      <c r="N262" s="167"/>
      <c r="O262" s="167"/>
      <c r="P262" s="98"/>
      <c r="Q262" s="92"/>
      <c r="R262" s="282"/>
      <c r="S262" s="94"/>
      <c r="T262" s="235"/>
    </row>
    <row r="263" spans="1:20" s="264" customFormat="1" ht="10.199999999999999" x14ac:dyDescent="0.2">
      <c r="A263" s="89"/>
      <c r="B263" s="293"/>
      <c r="C263" s="293"/>
      <c r="D263" s="293"/>
      <c r="E263" s="89"/>
      <c r="F263" s="89"/>
      <c r="G263" s="293"/>
      <c r="H263" s="293"/>
      <c r="I263" s="293"/>
      <c r="J263" s="293"/>
      <c r="K263" s="175"/>
      <c r="L263" s="175"/>
      <c r="M263" s="165"/>
      <c r="N263" s="168"/>
      <c r="O263" s="168"/>
      <c r="P263" s="98"/>
      <c r="Q263" s="92"/>
      <c r="R263" s="282"/>
      <c r="S263" s="94"/>
      <c r="T263" s="235"/>
    </row>
    <row r="264" spans="1:20" s="264" customFormat="1" ht="10.199999999999999" x14ac:dyDescent="0.2">
      <c r="A264" s="89"/>
      <c r="B264" s="293"/>
      <c r="C264" s="293"/>
      <c r="D264" s="293"/>
      <c r="E264" s="89"/>
      <c r="F264" s="89"/>
      <c r="G264" s="293"/>
      <c r="H264" s="293"/>
      <c r="I264" s="293"/>
      <c r="J264" s="293"/>
      <c r="K264" s="175"/>
      <c r="L264" s="175"/>
      <c r="M264" s="164" t="s">
        <v>13</v>
      </c>
      <c r="N264" s="166">
        <v>0</v>
      </c>
      <c r="O264" s="166">
        <v>0</v>
      </c>
      <c r="P264" s="98"/>
      <c r="Q264" s="92"/>
      <c r="R264" s="282"/>
      <c r="S264" s="94"/>
      <c r="T264" s="235"/>
    </row>
    <row r="265" spans="1:20" s="264" customFormat="1" ht="10.199999999999999" x14ac:dyDescent="0.2">
      <c r="A265" s="89"/>
      <c r="B265" s="293"/>
      <c r="C265" s="293"/>
      <c r="D265" s="293"/>
      <c r="E265" s="89"/>
      <c r="F265" s="89"/>
      <c r="G265" s="293"/>
      <c r="H265" s="293"/>
      <c r="I265" s="293"/>
      <c r="J265" s="293"/>
      <c r="K265" s="175"/>
      <c r="L265" s="175"/>
      <c r="M265" s="165"/>
      <c r="N265" s="167"/>
      <c r="O265" s="167"/>
      <c r="P265" s="98"/>
      <c r="Q265" s="92"/>
      <c r="R265" s="282"/>
      <c r="S265" s="94"/>
      <c r="T265" s="235"/>
    </row>
    <row r="266" spans="1:20" s="248" customFormat="1" x14ac:dyDescent="0.3">
      <c r="A266" s="89"/>
      <c r="B266" s="289"/>
      <c r="C266" s="289"/>
      <c r="D266" s="289"/>
      <c r="E266" s="89"/>
      <c r="F266" s="89"/>
      <c r="G266" s="289"/>
      <c r="H266" s="289"/>
      <c r="I266" s="289"/>
      <c r="J266" s="289"/>
      <c r="K266" s="175"/>
      <c r="L266" s="175"/>
      <c r="M266" s="165"/>
      <c r="N266" s="168"/>
      <c r="O266" s="168"/>
      <c r="P266" s="98"/>
      <c r="Q266" s="92"/>
      <c r="R266" s="247"/>
      <c r="S266" s="94"/>
      <c r="T266" s="228"/>
    </row>
    <row r="267" spans="1:20" s="264" customFormat="1" ht="10.199999999999999" x14ac:dyDescent="0.2">
      <c r="A267" s="89">
        <f>A260+1</f>
        <v>44</v>
      </c>
      <c r="B267" s="95">
        <v>44606</v>
      </c>
      <c r="C267" s="95">
        <v>45701</v>
      </c>
      <c r="D267" s="58" t="s">
        <v>472</v>
      </c>
      <c r="E267" s="89" t="s">
        <v>443</v>
      </c>
      <c r="F267" s="89" t="s">
        <v>299</v>
      </c>
      <c r="G267" s="58" t="s">
        <v>282</v>
      </c>
      <c r="H267" s="110" t="s">
        <v>473</v>
      </c>
      <c r="I267" s="58" t="s">
        <v>474</v>
      </c>
      <c r="J267" s="58">
        <v>21.74</v>
      </c>
      <c r="K267" s="111">
        <f>S267*6</f>
        <v>3949.2014399999994</v>
      </c>
      <c r="L267" s="111">
        <f>S267*3</f>
        <v>1974.6007199999997</v>
      </c>
      <c r="M267" s="164" t="s">
        <v>14</v>
      </c>
      <c r="N267" s="166">
        <v>30.54</v>
      </c>
      <c r="O267" s="166">
        <v>30.54</v>
      </c>
      <c r="P267" s="92"/>
      <c r="Q267" s="92"/>
      <c r="R267" s="282"/>
      <c r="S267" s="94">
        <f>14.5*J267*1.2*(1+1+0.9)*0.6</f>
        <v>658.20023999999989</v>
      </c>
      <c r="T267" s="235"/>
    </row>
    <row r="268" spans="1:20" s="264" customFormat="1" ht="10.199999999999999" x14ac:dyDescent="0.2">
      <c r="A268" s="89"/>
      <c r="B268" s="293"/>
      <c r="C268" s="293"/>
      <c r="D268" s="293"/>
      <c r="E268" s="89"/>
      <c r="F268" s="89"/>
      <c r="G268" s="293"/>
      <c r="H268" s="293"/>
      <c r="I268" s="293"/>
      <c r="J268" s="293"/>
      <c r="K268" s="175"/>
      <c r="L268" s="175"/>
      <c r="M268" s="165"/>
      <c r="N268" s="167"/>
      <c r="O268" s="167"/>
      <c r="P268" s="92"/>
      <c r="Q268" s="92"/>
      <c r="R268" s="282"/>
      <c r="S268" s="94"/>
      <c r="T268" s="235"/>
    </row>
    <row r="269" spans="1:20" s="264" customFormat="1" ht="10.199999999999999" x14ac:dyDescent="0.2">
      <c r="A269" s="89"/>
      <c r="B269" s="293"/>
      <c r="C269" s="293"/>
      <c r="D269" s="293"/>
      <c r="E269" s="89"/>
      <c r="F269" s="89"/>
      <c r="G269" s="293"/>
      <c r="H269" s="293"/>
      <c r="I269" s="293"/>
      <c r="J269" s="293"/>
      <c r="K269" s="175"/>
      <c r="L269" s="175"/>
      <c r="M269" s="165"/>
      <c r="N269" s="168"/>
      <c r="O269" s="168"/>
      <c r="P269" s="92"/>
      <c r="Q269" s="92"/>
      <c r="R269" s="282"/>
      <c r="S269" s="94"/>
      <c r="T269" s="235"/>
    </row>
    <row r="270" spans="1:20" s="264" customFormat="1" ht="10.199999999999999" x14ac:dyDescent="0.2">
      <c r="A270" s="89"/>
      <c r="B270" s="293"/>
      <c r="C270" s="293"/>
      <c r="D270" s="293"/>
      <c r="E270" s="89"/>
      <c r="F270" s="89"/>
      <c r="G270" s="293"/>
      <c r="H270" s="293"/>
      <c r="I270" s="293"/>
      <c r="J270" s="293"/>
      <c r="K270" s="175"/>
      <c r="L270" s="175"/>
      <c r="M270" s="164" t="s">
        <v>533</v>
      </c>
      <c r="N270" s="59" t="s">
        <v>485</v>
      </c>
      <c r="O270" s="60"/>
      <c r="P270" s="92"/>
      <c r="Q270" s="92"/>
      <c r="R270" s="282"/>
      <c r="S270" s="94"/>
      <c r="T270" s="235"/>
    </row>
    <row r="271" spans="1:20" s="264" customFormat="1" ht="10.199999999999999" x14ac:dyDescent="0.2">
      <c r="A271" s="89"/>
      <c r="B271" s="293"/>
      <c r="C271" s="293"/>
      <c r="D271" s="293"/>
      <c r="E271" s="89"/>
      <c r="F271" s="89"/>
      <c r="G271" s="293"/>
      <c r="H271" s="293"/>
      <c r="I271" s="293"/>
      <c r="J271" s="293"/>
      <c r="K271" s="175"/>
      <c r="L271" s="175"/>
      <c r="M271" s="165"/>
      <c r="N271" s="119"/>
      <c r="O271" s="62"/>
      <c r="P271" s="92"/>
      <c r="Q271" s="92"/>
      <c r="R271" s="282"/>
      <c r="S271" s="94"/>
      <c r="T271" s="235"/>
    </row>
    <row r="272" spans="1:20" s="248" customFormat="1" x14ac:dyDescent="0.3">
      <c r="A272" s="89"/>
      <c r="B272" s="289"/>
      <c r="C272" s="289"/>
      <c r="D272" s="289"/>
      <c r="E272" s="89"/>
      <c r="F272" s="89"/>
      <c r="G272" s="289"/>
      <c r="H272" s="289"/>
      <c r="I272" s="289"/>
      <c r="J272" s="289"/>
      <c r="K272" s="175"/>
      <c r="L272" s="175"/>
      <c r="M272" s="165"/>
      <c r="N272" s="121"/>
      <c r="O272" s="81"/>
      <c r="P272" s="78"/>
      <c r="Q272" s="78"/>
      <c r="R272" s="247"/>
      <c r="S272" s="94"/>
      <c r="T272" s="228"/>
    </row>
    <row r="273" spans="1:20" s="295" customFormat="1" ht="10.199999999999999" x14ac:dyDescent="0.3">
      <c r="A273" s="89">
        <f>A267+1</f>
        <v>45</v>
      </c>
      <c r="B273" s="70">
        <v>44523</v>
      </c>
      <c r="C273" s="70">
        <v>46348</v>
      </c>
      <c r="D273" s="110" t="s">
        <v>296</v>
      </c>
      <c r="E273" s="89" t="s">
        <v>443</v>
      </c>
      <c r="F273" s="89" t="s">
        <v>299</v>
      </c>
      <c r="G273" s="110" t="s">
        <v>297</v>
      </c>
      <c r="H273" s="110" t="s">
        <v>544</v>
      </c>
      <c r="I273" s="110" t="s">
        <v>284</v>
      </c>
      <c r="J273" s="123">
        <v>152.84</v>
      </c>
      <c r="K273" s="111">
        <f>S273*6</f>
        <v>59358.165119999998</v>
      </c>
      <c r="L273" s="111">
        <f>S273*3</f>
        <v>29679.082559999999</v>
      </c>
      <c r="M273" s="49" t="s">
        <v>10</v>
      </c>
      <c r="N273" s="292">
        <v>19447.7</v>
      </c>
      <c r="O273" s="292">
        <v>405.51</v>
      </c>
      <c r="P273" s="117" t="s">
        <v>297</v>
      </c>
      <c r="Q273" s="124"/>
      <c r="R273" s="44"/>
      <c r="S273" s="94">
        <f>14.5*J273*1.2*(1+1.2+0.9)*1.2</f>
        <v>9893.0275199999996</v>
      </c>
      <c r="T273" s="294"/>
    </row>
    <row r="274" spans="1:20" s="295" customFormat="1" ht="20.399999999999999" x14ac:dyDescent="0.3">
      <c r="A274" s="89"/>
      <c r="B274" s="92"/>
      <c r="C274" s="92"/>
      <c r="D274" s="92"/>
      <c r="E274" s="89"/>
      <c r="F274" s="89"/>
      <c r="G274" s="92"/>
      <c r="H274" s="92"/>
      <c r="I274" s="92"/>
      <c r="J274" s="92"/>
      <c r="K274" s="175"/>
      <c r="L274" s="175"/>
      <c r="M274" s="49" t="s">
        <v>11</v>
      </c>
      <c r="N274" s="24">
        <v>3051.32</v>
      </c>
      <c r="O274" s="24">
        <v>120.69</v>
      </c>
      <c r="P274" s="98"/>
      <c r="Q274" s="92"/>
      <c r="R274" s="44"/>
      <c r="S274" s="94"/>
      <c r="T274" s="294"/>
    </row>
    <row r="275" spans="1:20" s="295" customFormat="1" ht="10.199999999999999" x14ac:dyDescent="0.3">
      <c r="A275" s="89"/>
      <c r="B275" s="92"/>
      <c r="C275" s="92"/>
      <c r="D275" s="92"/>
      <c r="E275" s="89"/>
      <c r="F275" s="89"/>
      <c r="G275" s="92"/>
      <c r="H275" s="92"/>
      <c r="I275" s="92"/>
      <c r="J275" s="92"/>
      <c r="K275" s="175"/>
      <c r="L275" s="175"/>
      <c r="M275" s="49" t="s">
        <v>12</v>
      </c>
      <c r="N275" s="24">
        <v>0</v>
      </c>
      <c r="O275" s="24">
        <v>0</v>
      </c>
      <c r="P275" s="98"/>
      <c r="Q275" s="92"/>
      <c r="R275" s="44"/>
      <c r="S275" s="94"/>
      <c r="T275" s="294"/>
    </row>
    <row r="276" spans="1:20" s="295" customFormat="1" ht="10.199999999999999" x14ac:dyDescent="0.3">
      <c r="A276" s="89"/>
      <c r="B276" s="92"/>
      <c r="C276" s="92"/>
      <c r="D276" s="92"/>
      <c r="E276" s="89"/>
      <c r="F276" s="89"/>
      <c r="G276" s="92"/>
      <c r="H276" s="92"/>
      <c r="I276" s="92"/>
      <c r="J276" s="92"/>
      <c r="K276" s="175"/>
      <c r="L276" s="175"/>
      <c r="M276" s="49" t="s">
        <v>13</v>
      </c>
      <c r="N276" s="24">
        <v>23898.17</v>
      </c>
      <c r="O276" s="24">
        <v>0</v>
      </c>
      <c r="P276" s="98"/>
      <c r="Q276" s="92"/>
      <c r="R276" s="44"/>
      <c r="S276" s="94"/>
      <c r="T276" s="294"/>
    </row>
    <row r="277" spans="1:20" s="295" customFormat="1" ht="10.199999999999999" x14ac:dyDescent="0.3">
      <c r="A277" s="89"/>
      <c r="B277" s="92"/>
      <c r="C277" s="92"/>
      <c r="D277" s="92"/>
      <c r="E277" s="89"/>
      <c r="F277" s="89"/>
      <c r="G277" s="92"/>
      <c r="H277" s="92"/>
      <c r="I277" s="92"/>
      <c r="J277" s="92"/>
      <c r="K277" s="175"/>
      <c r="L277" s="175"/>
      <c r="M277" s="49" t="s">
        <v>14</v>
      </c>
      <c r="N277" s="24">
        <v>56.39</v>
      </c>
      <c r="O277" s="24">
        <v>56.39</v>
      </c>
      <c r="P277" s="98"/>
      <c r="Q277" s="92"/>
      <c r="R277" s="44"/>
      <c r="S277" s="94"/>
      <c r="T277" s="294"/>
    </row>
    <row r="278" spans="1:20" s="295" customFormat="1" ht="10.199999999999999" x14ac:dyDescent="0.3">
      <c r="A278" s="89"/>
      <c r="B278" s="78"/>
      <c r="C278" s="92"/>
      <c r="D278" s="92"/>
      <c r="E278" s="89"/>
      <c r="F278" s="89"/>
      <c r="G278" s="92"/>
      <c r="H278" s="92"/>
      <c r="I278" s="92"/>
      <c r="J278" s="92"/>
      <c r="K278" s="175"/>
      <c r="L278" s="175"/>
      <c r="M278" s="252" t="s">
        <v>533</v>
      </c>
      <c r="N278" s="89" t="s">
        <v>485</v>
      </c>
      <c r="O278" s="89"/>
      <c r="P278" s="98"/>
      <c r="Q278" s="78"/>
      <c r="R278" s="44"/>
      <c r="S278" s="94"/>
      <c r="T278" s="294"/>
    </row>
    <row r="279" spans="1:20" s="264" customFormat="1" ht="10.199999999999999" x14ac:dyDescent="0.2">
      <c r="A279" s="89">
        <f>A273+1</f>
        <v>46</v>
      </c>
      <c r="B279" s="88">
        <v>44641</v>
      </c>
      <c r="C279" s="88" t="s">
        <v>122</v>
      </c>
      <c r="D279" s="90" t="s">
        <v>466</v>
      </c>
      <c r="E279" s="58" t="s">
        <v>441</v>
      </c>
      <c r="F279" s="89" t="s">
        <v>299</v>
      </c>
      <c r="G279" s="90" t="s">
        <v>467</v>
      </c>
      <c r="H279" s="90" t="s">
        <v>468</v>
      </c>
      <c r="I279" s="90" t="s">
        <v>469</v>
      </c>
      <c r="J279" s="115">
        <v>16.100000000000001</v>
      </c>
      <c r="K279" s="111">
        <f>S279*6</f>
        <v>94.786126326427492</v>
      </c>
      <c r="L279" s="111">
        <f>S279*3</f>
        <v>47.393063163213746</v>
      </c>
      <c r="M279" s="49" t="s">
        <v>10</v>
      </c>
      <c r="N279" s="173" t="s">
        <v>465</v>
      </c>
      <c r="O279" s="272"/>
      <c r="P279" s="60"/>
      <c r="Q279" s="124"/>
      <c r="R279" s="265"/>
      <c r="S279" s="296">
        <f>14.5*J279*1*(1+1.2+0.9)*1.2*12/1979*3</f>
        <v>15.797687721071249</v>
      </c>
      <c r="T279" s="235"/>
    </row>
    <row r="280" spans="1:20" s="264" customFormat="1" ht="20.399999999999999" x14ac:dyDescent="0.2">
      <c r="A280" s="89"/>
      <c r="B280" s="100"/>
      <c r="C280" s="100"/>
      <c r="D280" s="100"/>
      <c r="E280" s="92"/>
      <c r="F280" s="89"/>
      <c r="G280" s="100"/>
      <c r="H280" s="100"/>
      <c r="I280" s="100"/>
      <c r="J280" s="100"/>
      <c r="K280" s="175"/>
      <c r="L280" s="175"/>
      <c r="M280" s="49" t="s">
        <v>11</v>
      </c>
      <c r="N280" s="61"/>
      <c r="O280" s="273"/>
      <c r="P280" s="62"/>
      <c r="Q280" s="92"/>
      <c r="R280" s="265"/>
      <c r="S280" s="296"/>
      <c r="T280" s="235"/>
    </row>
    <row r="281" spans="1:20" s="264" customFormat="1" ht="10.199999999999999" x14ac:dyDescent="0.2">
      <c r="A281" s="89"/>
      <c r="B281" s="100"/>
      <c r="C281" s="100"/>
      <c r="D281" s="100"/>
      <c r="E281" s="92"/>
      <c r="F281" s="89"/>
      <c r="G281" s="100"/>
      <c r="H281" s="100"/>
      <c r="I281" s="100"/>
      <c r="J281" s="100"/>
      <c r="K281" s="175"/>
      <c r="L281" s="175"/>
      <c r="M281" s="49" t="s">
        <v>12</v>
      </c>
      <c r="N281" s="61"/>
      <c r="O281" s="273"/>
      <c r="P281" s="62"/>
      <c r="Q281" s="92"/>
      <c r="R281" s="265"/>
      <c r="S281" s="296"/>
      <c r="T281" s="235"/>
    </row>
    <row r="282" spans="1:20" s="264" customFormat="1" ht="10.199999999999999" x14ac:dyDescent="0.2">
      <c r="A282" s="89"/>
      <c r="B282" s="100"/>
      <c r="C282" s="100"/>
      <c r="D282" s="100"/>
      <c r="E282" s="92"/>
      <c r="F282" s="89"/>
      <c r="G282" s="100"/>
      <c r="H282" s="100"/>
      <c r="I282" s="100"/>
      <c r="J282" s="100"/>
      <c r="K282" s="175"/>
      <c r="L282" s="175"/>
      <c r="M282" s="49" t="s">
        <v>13</v>
      </c>
      <c r="N282" s="61"/>
      <c r="O282" s="273"/>
      <c r="P282" s="62"/>
      <c r="Q282" s="92"/>
      <c r="R282" s="265"/>
      <c r="S282" s="296"/>
      <c r="T282" s="235"/>
    </row>
    <row r="283" spans="1:20" s="264" customFormat="1" ht="10.199999999999999" x14ac:dyDescent="0.2">
      <c r="A283" s="89"/>
      <c r="B283" s="100"/>
      <c r="C283" s="100"/>
      <c r="D283" s="100"/>
      <c r="E283" s="92"/>
      <c r="F283" s="89"/>
      <c r="G283" s="100"/>
      <c r="H283" s="100"/>
      <c r="I283" s="100"/>
      <c r="J283" s="100"/>
      <c r="K283" s="175"/>
      <c r="L283" s="175"/>
      <c r="M283" s="51" t="s">
        <v>14</v>
      </c>
      <c r="N283" s="61"/>
      <c r="O283" s="273"/>
      <c r="P283" s="62"/>
      <c r="Q283" s="92"/>
      <c r="R283" s="265"/>
      <c r="S283" s="296"/>
      <c r="T283" s="235"/>
    </row>
    <row r="284" spans="1:20" s="264" customFormat="1" ht="10.199999999999999" x14ac:dyDescent="0.2">
      <c r="A284" s="89"/>
      <c r="B284" s="100"/>
      <c r="C284" s="100"/>
      <c r="D284" s="100"/>
      <c r="E284" s="78"/>
      <c r="F284" s="89"/>
      <c r="G284" s="100"/>
      <c r="H284" s="100"/>
      <c r="I284" s="100"/>
      <c r="J284" s="100"/>
      <c r="K284" s="175"/>
      <c r="L284" s="175"/>
      <c r="M284" s="252" t="s">
        <v>533</v>
      </c>
      <c r="N284" s="115" t="s">
        <v>485</v>
      </c>
      <c r="O284" s="89"/>
      <c r="P284" s="89"/>
      <c r="Q284" s="78"/>
      <c r="R284" s="265"/>
      <c r="S284" s="296"/>
      <c r="T284" s="235"/>
    </row>
    <row r="285" spans="1:20" s="264" customFormat="1" ht="10.199999999999999" x14ac:dyDescent="0.2">
      <c r="A285" s="89">
        <f>A279+1</f>
        <v>47</v>
      </c>
      <c r="B285" s="95">
        <v>45092</v>
      </c>
      <c r="C285" s="95">
        <v>46752</v>
      </c>
      <c r="D285" s="58" t="s">
        <v>655</v>
      </c>
      <c r="E285" s="58" t="s">
        <v>507</v>
      </c>
      <c r="F285" s="89" t="s">
        <v>299</v>
      </c>
      <c r="G285" s="58" t="s">
        <v>252</v>
      </c>
      <c r="H285" s="58" t="s">
        <v>656</v>
      </c>
      <c r="I285" s="58" t="s">
        <v>178</v>
      </c>
      <c r="J285" s="67">
        <v>3271.4</v>
      </c>
      <c r="K285" s="111">
        <f>(S285+S288)*6</f>
        <v>1268961.1199999999</v>
      </c>
      <c r="L285" s="67">
        <f>(S285+S288)*3</f>
        <v>634480.55999999994</v>
      </c>
      <c r="M285" s="49" t="s">
        <v>10</v>
      </c>
      <c r="N285" s="79" t="s">
        <v>489</v>
      </c>
      <c r="O285" s="60"/>
      <c r="P285" s="67" t="s">
        <v>252</v>
      </c>
      <c r="Q285" s="100"/>
      <c r="R285" s="265"/>
      <c r="S285" s="94">
        <f>(14.5*3174.6*1.2*(1+1.2+0.9)*1.2)+(14.5*96.8*1.2*(1+0.1+1.2)*1.2)</f>
        <v>210134.23199999999</v>
      </c>
      <c r="T285" s="235"/>
    </row>
    <row r="286" spans="1:20" s="264" customFormat="1" ht="20.399999999999999" x14ac:dyDescent="0.2">
      <c r="A286" s="89"/>
      <c r="B286" s="92"/>
      <c r="C286" s="92"/>
      <c r="D286" s="92"/>
      <c r="E286" s="96"/>
      <c r="F286" s="89"/>
      <c r="G286" s="92"/>
      <c r="H286" s="65"/>
      <c r="I286" s="65"/>
      <c r="J286" s="68"/>
      <c r="K286" s="175"/>
      <c r="L286" s="98"/>
      <c r="M286" s="49" t="s">
        <v>11</v>
      </c>
      <c r="N286" s="61"/>
      <c r="O286" s="62"/>
      <c r="P286" s="98"/>
      <c r="Q286" s="100"/>
      <c r="R286" s="265"/>
      <c r="S286" s="94"/>
      <c r="T286" s="235"/>
    </row>
    <row r="287" spans="1:20" s="264" customFormat="1" ht="10.199999999999999" x14ac:dyDescent="0.2">
      <c r="A287" s="89"/>
      <c r="B287" s="92"/>
      <c r="C287" s="92"/>
      <c r="D287" s="92"/>
      <c r="E287" s="96"/>
      <c r="F287" s="89"/>
      <c r="G287" s="92"/>
      <c r="H287" s="66"/>
      <c r="I287" s="66"/>
      <c r="J287" s="69"/>
      <c r="K287" s="175"/>
      <c r="L287" s="98"/>
      <c r="M287" s="49" t="s">
        <v>12</v>
      </c>
      <c r="N287" s="61"/>
      <c r="O287" s="62"/>
      <c r="P287" s="98"/>
      <c r="Q287" s="100"/>
      <c r="R287" s="265"/>
      <c r="S287" s="94"/>
      <c r="T287" s="235"/>
    </row>
    <row r="288" spans="1:20" s="264" customFormat="1" ht="10.199999999999999" x14ac:dyDescent="0.2">
      <c r="A288" s="89"/>
      <c r="B288" s="92"/>
      <c r="C288" s="92"/>
      <c r="D288" s="92"/>
      <c r="E288" s="96"/>
      <c r="F288" s="89"/>
      <c r="G288" s="92"/>
      <c r="H288" s="58" t="s">
        <v>510</v>
      </c>
      <c r="I288" s="58" t="s">
        <v>179</v>
      </c>
      <c r="J288" s="58">
        <v>65.099999999999994</v>
      </c>
      <c r="K288" s="175"/>
      <c r="L288" s="98"/>
      <c r="M288" s="49" t="s">
        <v>13</v>
      </c>
      <c r="N288" s="61"/>
      <c r="O288" s="62"/>
      <c r="P288" s="98"/>
      <c r="Q288" s="100"/>
      <c r="R288" s="265"/>
      <c r="S288" s="94">
        <f>14.5*J288*1.2*(1+1+0)*0.6</f>
        <v>1359.2879999999998</v>
      </c>
      <c r="T288" s="235"/>
    </row>
    <row r="289" spans="1:20" s="264" customFormat="1" ht="10.199999999999999" x14ac:dyDescent="0.2">
      <c r="A289" s="89"/>
      <c r="B289" s="92"/>
      <c r="C289" s="92"/>
      <c r="D289" s="92"/>
      <c r="E289" s="96"/>
      <c r="F289" s="89"/>
      <c r="G289" s="92"/>
      <c r="H289" s="65"/>
      <c r="I289" s="65"/>
      <c r="J289" s="65"/>
      <c r="K289" s="175"/>
      <c r="L289" s="98"/>
      <c r="M289" s="49" t="s">
        <v>14</v>
      </c>
      <c r="N289" s="61"/>
      <c r="O289" s="62"/>
      <c r="P289" s="98"/>
      <c r="Q289" s="100"/>
      <c r="R289" s="265"/>
      <c r="S289" s="94"/>
      <c r="T289" s="235"/>
    </row>
    <row r="290" spans="1:20" s="264" customFormat="1" ht="10.199999999999999" x14ac:dyDescent="0.2">
      <c r="A290" s="89"/>
      <c r="B290" s="78"/>
      <c r="C290" s="78"/>
      <c r="D290" s="78"/>
      <c r="E290" s="97"/>
      <c r="F290" s="89"/>
      <c r="G290" s="78"/>
      <c r="H290" s="66"/>
      <c r="I290" s="66"/>
      <c r="J290" s="66"/>
      <c r="K290" s="175"/>
      <c r="L290" s="99"/>
      <c r="M290" s="49" t="s">
        <v>533</v>
      </c>
      <c r="N290" s="89" t="s">
        <v>485</v>
      </c>
      <c r="O290" s="89"/>
      <c r="P290" s="99"/>
      <c r="Q290" s="100"/>
      <c r="R290" s="265"/>
      <c r="S290" s="94"/>
      <c r="T290" s="235"/>
    </row>
    <row r="291" spans="1:20" s="264" customFormat="1" ht="10.199999999999999" x14ac:dyDescent="0.2">
      <c r="A291" s="297"/>
      <c r="B291" s="298" t="s">
        <v>460</v>
      </c>
      <c r="C291" s="299"/>
      <c r="D291" s="299"/>
      <c r="E291" s="299"/>
      <c r="F291" s="299"/>
      <c r="G291" s="299"/>
      <c r="H291" s="299"/>
      <c r="I291" s="300"/>
      <c r="J291" s="67">
        <f>SUM(J9:J290)-J135-J141-J165-J171-J183-J189</f>
        <v>9326.6199999999972</v>
      </c>
      <c r="K291" s="67">
        <f>SUM(K9:K290)</f>
        <v>3213459.8153271712</v>
      </c>
      <c r="L291" s="67">
        <f>SUM(L9:L290)</f>
        <v>1606729.9076635856</v>
      </c>
      <c r="M291" s="7" t="s">
        <v>22</v>
      </c>
      <c r="N291" s="301">
        <f>N292+N293+N294+N295+N296+N297</f>
        <v>69715.180000000008</v>
      </c>
      <c r="O291" s="301">
        <f>O292+O293+O294+O295+O296+O297</f>
        <v>9177.7000000000007</v>
      </c>
      <c r="P291" s="111"/>
      <c r="Q291" s="302"/>
      <c r="R291" s="282"/>
      <c r="S291" s="235"/>
      <c r="T291" s="235"/>
    </row>
    <row r="292" spans="1:20" s="264" customFormat="1" ht="10.199999999999999" x14ac:dyDescent="0.2">
      <c r="A292" s="303"/>
      <c r="B292" s="304"/>
      <c r="C292" s="305"/>
      <c r="D292" s="305"/>
      <c r="E292" s="305"/>
      <c r="F292" s="305"/>
      <c r="G292" s="305"/>
      <c r="H292" s="305"/>
      <c r="I292" s="306"/>
      <c r="J292" s="71"/>
      <c r="K292" s="283"/>
      <c r="L292" s="283"/>
      <c r="M292" s="49" t="s">
        <v>10</v>
      </c>
      <c r="N292" s="34">
        <f>N75+N207+N219+N225+N237+N243+N249+N255+N273</f>
        <v>25245.72</v>
      </c>
      <c r="O292" s="34">
        <f>O75+O207+O219+O225+O237+O243+O249+O255+O273</f>
        <v>4835.7500000000009</v>
      </c>
      <c r="P292" s="100"/>
      <c r="Q292" s="307"/>
      <c r="R292" s="282"/>
      <c r="S292" s="235"/>
      <c r="T292" s="235"/>
    </row>
    <row r="293" spans="1:20" s="264" customFormat="1" ht="20.399999999999999" x14ac:dyDescent="0.2">
      <c r="A293" s="303"/>
      <c r="B293" s="304"/>
      <c r="C293" s="305"/>
      <c r="D293" s="305"/>
      <c r="E293" s="305"/>
      <c r="F293" s="305"/>
      <c r="G293" s="305"/>
      <c r="H293" s="305"/>
      <c r="I293" s="306"/>
      <c r="J293" s="71"/>
      <c r="K293" s="283"/>
      <c r="L293" s="283"/>
      <c r="M293" s="49" t="s">
        <v>11</v>
      </c>
      <c r="N293" s="34">
        <f>N76+N208+N220+N227+N238+N244+N250+N258+N274</f>
        <v>4409.62</v>
      </c>
      <c r="O293" s="34">
        <f>O76+O208+O220+O227+O238+O244+O250+O258+O274</f>
        <v>1310.8400000000001</v>
      </c>
      <c r="P293" s="100"/>
      <c r="Q293" s="307"/>
      <c r="R293" s="282"/>
      <c r="S293" s="235"/>
      <c r="T293" s="235"/>
    </row>
    <row r="294" spans="1:20" s="264" customFormat="1" ht="10.199999999999999" x14ac:dyDescent="0.2">
      <c r="A294" s="303"/>
      <c r="B294" s="304"/>
      <c r="C294" s="305"/>
      <c r="D294" s="305"/>
      <c r="E294" s="305"/>
      <c r="F294" s="305"/>
      <c r="G294" s="305"/>
      <c r="H294" s="305"/>
      <c r="I294" s="306"/>
      <c r="J294" s="71"/>
      <c r="K294" s="283"/>
      <c r="L294" s="283"/>
      <c r="M294" s="49" t="s">
        <v>12</v>
      </c>
      <c r="N294" s="34">
        <f>N77+N209+N221+N231+N239+N245+N251+N261+N275</f>
        <v>0</v>
      </c>
      <c r="O294" s="34">
        <f>O77+O209+O221+O231+O239+O245+O251+O261+O275</f>
        <v>0</v>
      </c>
      <c r="P294" s="100"/>
      <c r="Q294" s="307"/>
      <c r="R294" s="282"/>
      <c r="S294" s="235"/>
      <c r="T294" s="235"/>
    </row>
    <row r="295" spans="1:20" s="264" customFormat="1" ht="10.199999999999999" x14ac:dyDescent="0.2">
      <c r="A295" s="303"/>
      <c r="B295" s="304"/>
      <c r="C295" s="305"/>
      <c r="D295" s="305"/>
      <c r="E295" s="305"/>
      <c r="F295" s="305"/>
      <c r="G295" s="305"/>
      <c r="H295" s="305"/>
      <c r="I295" s="306"/>
      <c r="J295" s="71"/>
      <c r="K295" s="283"/>
      <c r="L295" s="283"/>
      <c r="M295" s="49" t="s">
        <v>13</v>
      </c>
      <c r="N295" s="34">
        <f>N78+N210+N222+N229+N240+N246+N252+N264+N276</f>
        <v>35340.54</v>
      </c>
      <c r="O295" s="34">
        <f>O78+O210+O222+O229+O240+O246+O252+O264+O276</f>
        <v>42.32</v>
      </c>
      <c r="P295" s="100"/>
      <c r="Q295" s="307"/>
      <c r="R295" s="282"/>
      <c r="S295" s="235"/>
      <c r="T295" s="235"/>
    </row>
    <row r="296" spans="1:20" s="264" customFormat="1" ht="10.199999999999999" x14ac:dyDescent="0.2">
      <c r="A296" s="303"/>
      <c r="B296" s="304"/>
      <c r="C296" s="305"/>
      <c r="D296" s="305"/>
      <c r="E296" s="305"/>
      <c r="F296" s="305"/>
      <c r="G296" s="305"/>
      <c r="H296" s="305"/>
      <c r="I296" s="306"/>
      <c r="J296" s="71"/>
      <c r="K296" s="283"/>
      <c r="L296" s="283"/>
      <c r="M296" s="49" t="s">
        <v>14</v>
      </c>
      <c r="N296" s="34">
        <f>N79+N211+N223+N233+N241+N247+N253+N267+N277</f>
        <v>859.92</v>
      </c>
      <c r="O296" s="34">
        <f>O79+O211+O223+O233+O241+O247+O253+O267+O277</f>
        <v>807.6</v>
      </c>
      <c r="P296" s="100"/>
      <c r="Q296" s="307"/>
      <c r="R296" s="282"/>
      <c r="S296" s="235"/>
      <c r="T296" s="235"/>
    </row>
    <row r="297" spans="1:20" s="264" customFormat="1" ht="10.199999999999999" x14ac:dyDescent="0.2">
      <c r="A297" s="308"/>
      <c r="B297" s="309"/>
      <c r="C297" s="310"/>
      <c r="D297" s="310"/>
      <c r="E297" s="310"/>
      <c r="F297" s="310"/>
      <c r="G297" s="310"/>
      <c r="H297" s="310"/>
      <c r="I297" s="311"/>
      <c r="J297" s="87"/>
      <c r="K297" s="284"/>
      <c r="L297" s="284"/>
      <c r="M297" s="252" t="s">
        <v>533</v>
      </c>
      <c r="N297" s="34">
        <f>N44+N38+N32+N14+N26+N20</f>
        <v>3859.38</v>
      </c>
      <c r="O297" s="34">
        <f>O44+O38+O32+O14+O26+O20</f>
        <v>2181.1900000000005</v>
      </c>
      <c r="P297" s="100"/>
      <c r="Q297" s="312"/>
      <c r="R297" s="282"/>
      <c r="S297" s="235"/>
      <c r="T297" s="235"/>
    </row>
    <row r="298" spans="1:20" s="264" customFormat="1" ht="15.6" x14ac:dyDescent="0.3">
      <c r="A298" s="313" t="s">
        <v>342</v>
      </c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5"/>
      <c r="R298" s="282"/>
      <c r="S298" s="235"/>
      <c r="T298" s="235"/>
    </row>
    <row r="299" spans="1:20" s="264" customFormat="1" ht="10.199999999999999" x14ac:dyDescent="0.2">
      <c r="A299" s="89">
        <f>A285+1</f>
        <v>48</v>
      </c>
      <c r="B299" s="70">
        <v>43101</v>
      </c>
      <c r="C299" s="70">
        <v>46752</v>
      </c>
      <c r="D299" s="58" t="s">
        <v>29</v>
      </c>
      <c r="E299" s="89" t="s">
        <v>300</v>
      </c>
      <c r="F299" s="89" t="s">
        <v>299</v>
      </c>
      <c r="G299" s="58" t="s">
        <v>30</v>
      </c>
      <c r="H299" s="58" t="s">
        <v>343</v>
      </c>
      <c r="I299" s="58" t="s">
        <v>31</v>
      </c>
      <c r="J299" s="58">
        <v>192.6</v>
      </c>
      <c r="K299" s="111">
        <f>S299*6</f>
        <v>6233.3063999999995</v>
      </c>
      <c r="L299" s="111">
        <f>S299*3</f>
        <v>3116.6531999999997</v>
      </c>
      <c r="M299" s="49" t="s">
        <v>10</v>
      </c>
      <c r="N299" s="59" t="s">
        <v>457</v>
      </c>
      <c r="O299" s="60"/>
      <c r="P299" s="67" t="s">
        <v>30</v>
      </c>
      <c r="Q299" s="135"/>
      <c r="R299" s="282"/>
      <c r="S299" s="94">
        <f>14.5*J299*1.2*(1+1.2+0.9)*0.1</f>
        <v>1038.8843999999999</v>
      </c>
      <c r="T299" s="235"/>
    </row>
    <row r="300" spans="1:20" s="264" customFormat="1" ht="20.399999999999999" x14ac:dyDescent="0.2">
      <c r="A300" s="89"/>
      <c r="B300" s="136"/>
      <c r="C300" s="136"/>
      <c r="D300" s="136"/>
      <c r="E300" s="89"/>
      <c r="F300" s="89"/>
      <c r="G300" s="136"/>
      <c r="H300" s="136"/>
      <c r="I300" s="136"/>
      <c r="J300" s="136"/>
      <c r="K300" s="111"/>
      <c r="L300" s="111"/>
      <c r="M300" s="49" t="s">
        <v>11</v>
      </c>
      <c r="N300" s="61"/>
      <c r="O300" s="62"/>
      <c r="P300" s="283"/>
      <c r="Q300" s="136"/>
      <c r="R300" s="282"/>
      <c r="S300" s="94"/>
      <c r="T300" s="235"/>
    </row>
    <row r="301" spans="1:20" s="264" customFormat="1" ht="10.199999999999999" x14ac:dyDescent="0.2">
      <c r="A301" s="89"/>
      <c r="B301" s="136"/>
      <c r="C301" s="136"/>
      <c r="D301" s="136"/>
      <c r="E301" s="89"/>
      <c r="F301" s="89"/>
      <c r="G301" s="136"/>
      <c r="H301" s="136"/>
      <c r="I301" s="136"/>
      <c r="J301" s="136"/>
      <c r="K301" s="111"/>
      <c r="L301" s="111"/>
      <c r="M301" s="49" t="s">
        <v>12</v>
      </c>
      <c r="N301" s="61"/>
      <c r="O301" s="62"/>
      <c r="P301" s="283"/>
      <c r="Q301" s="136"/>
      <c r="R301" s="282"/>
      <c r="S301" s="94"/>
      <c r="T301" s="235"/>
    </row>
    <row r="302" spans="1:20" s="264" customFormat="1" ht="10.199999999999999" x14ac:dyDescent="0.2">
      <c r="A302" s="89"/>
      <c r="B302" s="136"/>
      <c r="C302" s="136"/>
      <c r="D302" s="136"/>
      <c r="E302" s="89"/>
      <c r="F302" s="89"/>
      <c r="G302" s="136"/>
      <c r="H302" s="136"/>
      <c r="I302" s="136"/>
      <c r="J302" s="136"/>
      <c r="K302" s="111"/>
      <c r="L302" s="111"/>
      <c r="M302" s="49" t="s">
        <v>13</v>
      </c>
      <c r="N302" s="61"/>
      <c r="O302" s="62"/>
      <c r="P302" s="283"/>
      <c r="Q302" s="136"/>
      <c r="R302" s="282"/>
      <c r="S302" s="94"/>
      <c r="T302" s="235"/>
    </row>
    <row r="303" spans="1:20" s="264" customFormat="1" ht="10.199999999999999" x14ac:dyDescent="0.2">
      <c r="A303" s="89"/>
      <c r="B303" s="136"/>
      <c r="C303" s="136"/>
      <c r="D303" s="136"/>
      <c r="E303" s="89"/>
      <c r="F303" s="89"/>
      <c r="G303" s="136"/>
      <c r="H303" s="136"/>
      <c r="I303" s="136"/>
      <c r="J303" s="136"/>
      <c r="K303" s="111"/>
      <c r="L303" s="111"/>
      <c r="M303" s="49" t="s">
        <v>14</v>
      </c>
      <c r="N303" s="61"/>
      <c r="O303" s="62"/>
      <c r="P303" s="283"/>
      <c r="Q303" s="136"/>
      <c r="R303" s="282"/>
      <c r="S303" s="94"/>
      <c r="T303" s="235"/>
    </row>
    <row r="304" spans="1:20" s="264" customFormat="1" ht="10.199999999999999" x14ac:dyDescent="0.2">
      <c r="A304" s="89"/>
      <c r="B304" s="137"/>
      <c r="C304" s="137"/>
      <c r="D304" s="137"/>
      <c r="E304" s="89"/>
      <c r="F304" s="89"/>
      <c r="G304" s="137"/>
      <c r="H304" s="137"/>
      <c r="I304" s="137"/>
      <c r="J304" s="137"/>
      <c r="K304" s="111"/>
      <c r="L304" s="111"/>
      <c r="M304" s="252" t="s">
        <v>533</v>
      </c>
      <c r="N304" s="34">
        <v>260.01</v>
      </c>
      <c r="O304" s="34">
        <v>260.01</v>
      </c>
      <c r="P304" s="284"/>
      <c r="Q304" s="137"/>
      <c r="R304" s="282"/>
      <c r="S304" s="94"/>
      <c r="T304" s="235"/>
    </row>
    <row r="305" spans="1:20" s="264" customFormat="1" ht="10.199999999999999" x14ac:dyDescent="0.2">
      <c r="A305" s="89">
        <f>A299+1</f>
        <v>49</v>
      </c>
      <c r="B305" s="70">
        <v>45001</v>
      </c>
      <c r="C305" s="70">
        <v>46022</v>
      </c>
      <c r="D305" s="58" t="s">
        <v>594</v>
      </c>
      <c r="E305" s="89" t="s">
        <v>300</v>
      </c>
      <c r="F305" s="89" t="s">
        <v>299</v>
      </c>
      <c r="G305" s="58" t="s">
        <v>32</v>
      </c>
      <c r="H305" s="58" t="s">
        <v>595</v>
      </c>
      <c r="I305" s="58" t="s">
        <v>31</v>
      </c>
      <c r="J305" s="58">
        <v>68.5</v>
      </c>
      <c r="K305" s="111">
        <f>S305*6</f>
        <v>17163.359999999997</v>
      </c>
      <c r="L305" s="111">
        <f>S305*3</f>
        <v>8581.6799999999985</v>
      </c>
      <c r="M305" s="49" t="s">
        <v>10</v>
      </c>
      <c r="N305" s="59" t="s">
        <v>457</v>
      </c>
      <c r="O305" s="60"/>
      <c r="P305" s="67" t="s">
        <v>32</v>
      </c>
      <c r="Q305" s="135"/>
      <c r="R305" s="282"/>
      <c r="S305" s="94">
        <f>14.5*J305*1*(1+0.5+0.9)*1.2</f>
        <v>2860.5599999999995</v>
      </c>
      <c r="T305" s="235"/>
    </row>
    <row r="306" spans="1:20" s="264" customFormat="1" ht="20.399999999999999" x14ac:dyDescent="0.2">
      <c r="A306" s="89"/>
      <c r="B306" s="136"/>
      <c r="C306" s="136"/>
      <c r="D306" s="136"/>
      <c r="E306" s="89"/>
      <c r="F306" s="89"/>
      <c r="G306" s="136"/>
      <c r="H306" s="136"/>
      <c r="I306" s="136"/>
      <c r="J306" s="136"/>
      <c r="K306" s="111"/>
      <c r="L306" s="111"/>
      <c r="M306" s="49" t="s">
        <v>11</v>
      </c>
      <c r="N306" s="61"/>
      <c r="O306" s="62"/>
      <c r="P306" s="283"/>
      <c r="Q306" s="136"/>
      <c r="R306" s="282"/>
      <c r="S306" s="94"/>
      <c r="T306" s="235"/>
    </row>
    <row r="307" spans="1:20" s="264" customFormat="1" ht="10.199999999999999" x14ac:dyDescent="0.2">
      <c r="A307" s="89"/>
      <c r="B307" s="136"/>
      <c r="C307" s="136"/>
      <c r="D307" s="136"/>
      <c r="E307" s="89"/>
      <c r="F307" s="89"/>
      <c r="G307" s="136"/>
      <c r="H307" s="136"/>
      <c r="I307" s="136"/>
      <c r="J307" s="136"/>
      <c r="K307" s="111"/>
      <c r="L307" s="111"/>
      <c r="M307" s="49" t="s">
        <v>12</v>
      </c>
      <c r="N307" s="61"/>
      <c r="O307" s="62"/>
      <c r="P307" s="283"/>
      <c r="Q307" s="136"/>
      <c r="R307" s="282"/>
      <c r="S307" s="94"/>
      <c r="T307" s="235"/>
    </row>
    <row r="308" spans="1:20" s="264" customFormat="1" ht="10.199999999999999" x14ac:dyDescent="0.2">
      <c r="A308" s="89"/>
      <c r="B308" s="136"/>
      <c r="C308" s="136"/>
      <c r="D308" s="136"/>
      <c r="E308" s="89"/>
      <c r="F308" s="89"/>
      <c r="G308" s="136"/>
      <c r="H308" s="136"/>
      <c r="I308" s="136"/>
      <c r="J308" s="136"/>
      <c r="K308" s="111"/>
      <c r="L308" s="111"/>
      <c r="M308" s="49" t="s">
        <v>13</v>
      </c>
      <c r="N308" s="61"/>
      <c r="O308" s="62"/>
      <c r="P308" s="283"/>
      <c r="Q308" s="136"/>
      <c r="R308" s="282"/>
      <c r="S308" s="94"/>
      <c r="T308" s="235"/>
    </row>
    <row r="309" spans="1:20" s="264" customFormat="1" ht="10.199999999999999" x14ac:dyDescent="0.2">
      <c r="A309" s="89"/>
      <c r="B309" s="136"/>
      <c r="C309" s="136"/>
      <c r="D309" s="136"/>
      <c r="E309" s="89"/>
      <c r="F309" s="89"/>
      <c r="G309" s="136"/>
      <c r="H309" s="136"/>
      <c r="I309" s="136"/>
      <c r="J309" s="136"/>
      <c r="K309" s="111"/>
      <c r="L309" s="111"/>
      <c r="M309" s="49" t="s">
        <v>14</v>
      </c>
      <c r="N309" s="61"/>
      <c r="O309" s="62"/>
      <c r="P309" s="283"/>
      <c r="Q309" s="136"/>
      <c r="R309" s="282"/>
      <c r="S309" s="94"/>
      <c r="T309" s="235"/>
    </row>
    <row r="310" spans="1:20" s="264" customFormat="1" ht="10.199999999999999" x14ac:dyDescent="0.2">
      <c r="A310" s="89"/>
      <c r="B310" s="137"/>
      <c r="C310" s="137"/>
      <c r="D310" s="137"/>
      <c r="E310" s="89"/>
      <c r="F310" s="89"/>
      <c r="G310" s="137"/>
      <c r="H310" s="137"/>
      <c r="I310" s="137"/>
      <c r="J310" s="137"/>
      <c r="K310" s="111"/>
      <c r="L310" s="111"/>
      <c r="M310" s="252" t="s">
        <v>533</v>
      </c>
      <c r="N310" s="33">
        <v>131.53</v>
      </c>
      <c r="O310" s="33">
        <v>131.53</v>
      </c>
      <c r="P310" s="284"/>
      <c r="Q310" s="137"/>
      <c r="R310" s="282"/>
      <c r="S310" s="94"/>
      <c r="T310" s="235"/>
    </row>
    <row r="311" spans="1:20" s="264" customFormat="1" ht="10.199999999999999" x14ac:dyDescent="0.2">
      <c r="A311" s="89">
        <f>A305+1</f>
        <v>50</v>
      </c>
      <c r="B311" s="88">
        <v>43101</v>
      </c>
      <c r="C311" s="88">
        <v>44926</v>
      </c>
      <c r="D311" s="89" t="s">
        <v>33</v>
      </c>
      <c r="E311" s="89" t="s">
        <v>300</v>
      </c>
      <c r="F311" s="89" t="s">
        <v>299</v>
      </c>
      <c r="G311" s="89" t="s">
        <v>34</v>
      </c>
      <c r="H311" s="89" t="s">
        <v>344</v>
      </c>
      <c r="I311" s="89" t="s">
        <v>31</v>
      </c>
      <c r="J311" s="89">
        <v>11.9</v>
      </c>
      <c r="K311" s="111">
        <v>0</v>
      </c>
      <c r="L311" s="111">
        <v>0</v>
      </c>
      <c r="M311" s="49" t="s">
        <v>10</v>
      </c>
      <c r="N311" s="59" t="s">
        <v>493</v>
      </c>
      <c r="O311" s="60"/>
      <c r="P311" s="111" t="s">
        <v>552</v>
      </c>
      <c r="Q311" s="89" t="s">
        <v>651</v>
      </c>
      <c r="R311" s="282"/>
      <c r="S311" s="94">
        <f>14.5*J311*1*(1+0.5+0.9)*1.2</f>
        <v>496.94399999999996</v>
      </c>
      <c r="T311" s="235"/>
    </row>
    <row r="312" spans="1:20" s="264" customFormat="1" ht="20.399999999999999" x14ac:dyDescent="0.2">
      <c r="A312" s="89"/>
      <c r="B312" s="193"/>
      <c r="C312" s="193"/>
      <c r="D312" s="193"/>
      <c r="E312" s="89"/>
      <c r="F312" s="89"/>
      <c r="G312" s="89"/>
      <c r="H312" s="193"/>
      <c r="I312" s="193"/>
      <c r="J312" s="193"/>
      <c r="K312" s="111"/>
      <c r="L312" s="111"/>
      <c r="M312" s="49" t="s">
        <v>11</v>
      </c>
      <c r="N312" s="61"/>
      <c r="O312" s="62"/>
      <c r="P312" s="111"/>
      <c r="Q312" s="89"/>
      <c r="R312" s="282"/>
      <c r="S312" s="94"/>
      <c r="T312" s="235"/>
    </row>
    <row r="313" spans="1:20" s="264" customFormat="1" ht="10.199999999999999" x14ac:dyDescent="0.2">
      <c r="A313" s="89"/>
      <c r="B313" s="193"/>
      <c r="C313" s="193"/>
      <c r="D313" s="193"/>
      <c r="E313" s="89"/>
      <c r="F313" s="89"/>
      <c r="G313" s="89"/>
      <c r="H313" s="193"/>
      <c r="I313" s="193"/>
      <c r="J313" s="193"/>
      <c r="K313" s="111"/>
      <c r="L313" s="111"/>
      <c r="M313" s="49" t="s">
        <v>12</v>
      </c>
      <c r="N313" s="61"/>
      <c r="O313" s="62"/>
      <c r="P313" s="111"/>
      <c r="Q313" s="89"/>
      <c r="R313" s="282"/>
      <c r="S313" s="94"/>
      <c r="T313" s="235"/>
    </row>
    <row r="314" spans="1:20" s="264" customFormat="1" ht="10.199999999999999" x14ac:dyDescent="0.2">
      <c r="A314" s="89"/>
      <c r="B314" s="193"/>
      <c r="C314" s="193"/>
      <c r="D314" s="193"/>
      <c r="E314" s="89"/>
      <c r="F314" s="89"/>
      <c r="G314" s="89"/>
      <c r="H314" s="193"/>
      <c r="I314" s="193"/>
      <c r="J314" s="193"/>
      <c r="K314" s="111"/>
      <c r="L314" s="111"/>
      <c r="M314" s="49" t="s">
        <v>13</v>
      </c>
      <c r="N314" s="61"/>
      <c r="O314" s="62"/>
      <c r="P314" s="111"/>
      <c r="Q314" s="89"/>
      <c r="R314" s="282"/>
      <c r="S314" s="94"/>
      <c r="T314" s="235"/>
    </row>
    <row r="315" spans="1:20" s="264" customFormat="1" ht="10.199999999999999" x14ac:dyDescent="0.2">
      <c r="A315" s="89"/>
      <c r="B315" s="193"/>
      <c r="C315" s="193"/>
      <c r="D315" s="193"/>
      <c r="E315" s="89"/>
      <c r="F315" s="89"/>
      <c r="G315" s="89"/>
      <c r="H315" s="193"/>
      <c r="I315" s="193"/>
      <c r="J315" s="193"/>
      <c r="K315" s="111"/>
      <c r="L315" s="111"/>
      <c r="M315" s="49" t="s">
        <v>14</v>
      </c>
      <c r="N315" s="80"/>
      <c r="O315" s="81"/>
      <c r="P315" s="111"/>
      <c r="Q315" s="89"/>
      <c r="R315" s="282"/>
      <c r="S315" s="94"/>
      <c r="T315" s="235"/>
    </row>
    <row r="316" spans="1:20" s="264" customFormat="1" ht="10.199999999999999" x14ac:dyDescent="0.2">
      <c r="A316" s="89"/>
      <c r="B316" s="193"/>
      <c r="C316" s="193"/>
      <c r="D316" s="193"/>
      <c r="E316" s="89"/>
      <c r="F316" s="89"/>
      <c r="G316" s="89"/>
      <c r="H316" s="193"/>
      <c r="I316" s="193"/>
      <c r="J316" s="193"/>
      <c r="K316" s="111"/>
      <c r="L316" s="111"/>
      <c r="M316" s="49" t="s">
        <v>533</v>
      </c>
      <c r="N316" s="34">
        <v>40.700000000000003</v>
      </c>
      <c r="O316" s="34">
        <v>0</v>
      </c>
      <c r="P316" s="111"/>
      <c r="Q316" s="89"/>
      <c r="R316" s="282"/>
      <c r="S316" s="94"/>
      <c r="T316" s="235"/>
    </row>
    <row r="317" spans="1:20" s="264" customFormat="1" ht="10.199999999999999" x14ac:dyDescent="0.2">
      <c r="A317" s="89">
        <f>A311+1</f>
        <v>51</v>
      </c>
      <c r="B317" s="70">
        <v>39965</v>
      </c>
      <c r="C317" s="70">
        <v>49096</v>
      </c>
      <c r="D317" s="58" t="s">
        <v>36</v>
      </c>
      <c r="E317" s="89" t="s">
        <v>300</v>
      </c>
      <c r="F317" s="89" t="s">
        <v>299</v>
      </c>
      <c r="G317" s="58" t="s">
        <v>37</v>
      </c>
      <c r="H317" s="58" t="s">
        <v>345</v>
      </c>
      <c r="I317" s="58" t="s">
        <v>35</v>
      </c>
      <c r="J317" s="58">
        <v>35.1</v>
      </c>
      <c r="K317" s="111">
        <f>S317*6</f>
        <v>989.39880000000016</v>
      </c>
      <c r="L317" s="111">
        <f>S317*3</f>
        <v>494.69940000000008</v>
      </c>
      <c r="M317" s="49" t="s">
        <v>10</v>
      </c>
      <c r="N317" s="59" t="s">
        <v>485</v>
      </c>
      <c r="O317" s="60"/>
      <c r="P317" s="67" t="s">
        <v>37</v>
      </c>
      <c r="Q317" s="58"/>
      <c r="R317" s="282"/>
      <c r="S317" s="94">
        <f>14.5*J317*1.2*(1+1.2+0.5)*0.1</f>
        <v>164.89980000000003</v>
      </c>
      <c r="T317" s="235"/>
    </row>
    <row r="318" spans="1:20" s="264" customFormat="1" ht="20.399999999999999" x14ac:dyDescent="0.2">
      <c r="A318" s="89"/>
      <c r="B318" s="136"/>
      <c r="C318" s="136"/>
      <c r="D318" s="136"/>
      <c r="E318" s="89"/>
      <c r="F318" s="89"/>
      <c r="G318" s="136"/>
      <c r="H318" s="136"/>
      <c r="I318" s="136"/>
      <c r="J318" s="136"/>
      <c r="K318" s="111"/>
      <c r="L318" s="111"/>
      <c r="M318" s="49" t="s">
        <v>11</v>
      </c>
      <c r="N318" s="61"/>
      <c r="O318" s="62"/>
      <c r="P318" s="283"/>
      <c r="Q318" s="71"/>
      <c r="R318" s="282"/>
      <c r="S318" s="94"/>
      <c r="T318" s="235"/>
    </row>
    <row r="319" spans="1:20" s="264" customFormat="1" ht="10.199999999999999" x14ac:dyDescent="0.2">
      <c r="A319" s="89"/>
      <c r="B319" s="136"/>
      <c r="C319" s="136"/>
      <c r="D319" s="136"/>
      <c r="E319" s="89"/>
      <c r="F319" s="89"/>
      <c r="G319" s="136"/>
      <c r="H319" s="136"/>
      <c r="I319" s="136"/>
      <c r="J319" s="136"/>
      <c r="K319" s="111"/>
      <c r="L319" s="111"/>
      <c r="M319" s="49" t="s">
        <v>12</v>
      </c>
      <c r="N319" s="61"/>
      <c r="O319" s="62"/>
      <c r="P319" s="283"/>
      <c r="Q319" s="71"/>
      <c r="R319" s="282"/>
      <c r="S319" s="94"/>
      <c r="T319" s="235"/>
    </row>
    <row r="320" spans="1:20" s="264" customFormat="1" ht="10.199999999999999" x14ac:dyDescent="0.2">
      <c r="A320" s="89"/>
      <c r="B320" s="136"/>
      <c r="C320" s="136"/>
      <c r="D320" s="136"/>
      <c r="E320" s="89"/>
      <c r="F320" s="89"/>
      <c r="G320" s="136"/>
      <c r="H320" s="136"/>
      <c r="I320" s="136"/>
      <c r="J320" s="136"/>
      <c r="K320" s="111"/>
      <c r="L320" s="111"/>
      <c r="M320" s="49" t="s">
        <v>13</v>
      </c>
      <c r="N320" s="61"/>
      <c r="O320" s="62"/>
      <c r="P320" s="283"/>
      <c r="Q320" s="71"/>
      <c r="R320" s="282"/>
      <c r="S320" s="94"/>
      <c r="T320" s="235"/>
    </row>
    <row r="321" spans="1:20" s="264" customFormat="1" ht="10.199999999999999" x14ac:dyDescent="0.2">
      <c r="A321" s="89"/>
      <c r="B321" s="136"/>
      <c r="C321" s="136"/>
      <c r="D321" s="136"/>
      <c r="E321" s="89"/>
      <c r="F321" s="89"/>
      <c r="G321" s="136"/>
      <c r="H321" s="136"/>
      <c r="I321" s="136"/>
      <c r="J321" s="136"/>
      <c r="K321" s="111"/>
      <c r="L321" s="111"/>
      <c r="M321" s="49" t="s">
        <v>14</v>
      </c>
      <c r="N321" s="61"/>
      <c r="O321" s="62"/>
      <c r="P321" s="283"/>
      <c r="Q321" s="71"/>
      <c r="R321" s="282"/>
      <c r="S321" s="94"/>
      <c r="T321" s="235"/>
    </row>
    <row r="322" spans="1:20" s="264" customFormat="1" ht="10.199999999999999" x14ac:dyDescent="0.2">
      <c r="A322" s="89"/>
      <c r="B322" s="137"/>
      <c r="C322" s="137"/>
      <c r="D322" s="137"/>
      <c r="E322" s="89"/>
      <c r="F322" s="89"/>
      <c r="G322" s="137"/>
      <c r="H322" s="137"/>
      <c r="I322" s="137"/>
      <c r="J322" s="137"/>
      <c r="K322" s="111"/>
      <c r="L322" s="111"/>
      <c r="M322" s="252" t="s">
        <v>533</v>
      </c>
      <c r="N322" s="34">
        <v>1340.4</v>
      </c>
      <c r="O322" s="34">
        <v>84.02</v>
      </c>
      <c r="P322" s="284"/>
      <c r="Q322" s="87"/>
      <c r="R322" s="282"/>
      <c r="S322" s="94"/>
      <c r="T322" s="235"/>
    </row>
    <row r="323" spans="1:20" s="264" customFormat="1" ht="10.199999999999999" x14ac:dyDescent="0.2">
      <c r="A323" s="58">
        <f>A317+1</f>
        <v>52</v>
      </c>
      <c r="B323" s="95">
        <v>44927</v>
      </c>
      <c r="C323" s="95">
        <v>46752</v>
      </c>
      <c r="D323" s="58" t="s">
        <v>577</v>
      </c>
      <c r="E323" s="89" t="s">
        <v>300</v>
      </c>
      <c r="F323" s="89" t="s">
        <v>299</v>
      </c>
      <c r="G323" s="58" t="s">
        <v>44</v>
      </c>
      <c r="H323" s="58" t="s">
        <v>578</v>
      </c>
      <c r="I323" s="58" t="s">
        <v>45</v>
      </c>
      <c r="J323" s="58">
        <v>60.1</v>
      </c>
      <c r="K323" s="111">
        <f>S323*6</f>
        <v>1380.3768000000002</v>
      </c>
      <c r="L323" s="111">
        <f>S323*3</f>
        <v>690.18840000000012</v>
      </c>
      <c r="M323" s="49" t="s">
        <v>10</v>
      </c>
      <c r="N323" s="59" t="s">
        <v>457</v>
      </c>
      <c r="O323" s="60"/>
      <c r="P323" s="67" t="s">
        <v>44</v>
      </c>
      <c r="Q323" s="58"/>
      <c r="R323" s="282"/>
      <c r="S323" s="94">
        <f>14.5*J323*1.2*(1+0.1+1.1)*0.1</f>
        <v>230.06280000000004</v>
      </c>
      <c r="T323" s="235"/>
    </row>
    <row r="324" spans="1:20" s="264" customFormat="1" ht="20.399999999999999" x14ac:dyDescent="0.2">
      <c r="A324" s="71"/>
      <c r="B324" s="71"/>
      <c r="C324" s="136"/>
      <c r="D324" s="136"/>
      <c r="E324" s="89"/>
      <c r="F324" s="89"/>
      <c r="G324" s="136"/>
      <c r="H324" s="136"/>
      <c r="I324" s="136"/>
      <c r="J324" s="136"/>
      <c r="K324" s="111"/>
      <c r="L324" s="111"/>
      <c r="M324" s="49" t="s">
        <v>11</v>
      </c>
      <c r="N324" s="61"/>
      <c r="O324" s="62"/>
      <c r="P324" s="283"/>
      <c r="Q324" s="71"/>
      <c r="R324" s="282"/>
      <c r="S324" s="94"/>
      <c r="T324" s="235"/>
    </row>
    <row r="325" spans="1:20" s="264" customFormat="1" ht="10.199999999999999" x14ac:dyDescent="0.2">
      <c r="A325" s="71"/>
      <c r="B325" s="71"/>
      <c r="C325" s="136"/>
      <c r="D325" s="136"/>
      <c r="E325" s="89"/>
      <c r="F325" s="89"/>
      <c r="G325" s="136"/>
      <c r="H325" s="136"/>
      <c r="I325" s="136"/>
      <c r="J325" s="136"/>
      <c r="K325" s="111"/>
      <c r="L325" s="111"/>
      <c r="M325" s="49" t="s">
        <v>12</v>
      </c>
      <c r="N325" s="61"/>
      <c r="O325" s="62"/>
      <c r="P325" s="283"/>
      <c r="Q325" s="71"/>
      <c r="R325" s="282"/>
      <c r="S325" s="94"/>
      <c r="T325" s="235"/>
    </row>
    <row r="326" spans="1:20" s="264" customFormat="1" ht="10.199999999999999" x14ac:dyDescent="0.2">
      <c r="A326" s="71"/>
      <c r="B326" s="71"/>
      <c r="C326" s="136"/>
      <c r="D326" s="136"/>
      <c r="E326" s="89"/>
      <c r="F326" s="89"/>
      <c r="G326" s="136"/>
      <c r="H326" s="136"/>
      <c r="I326" s="136"/>
      <c r="J326" s="136"/>
      <c r="K326" s="111"/>
      <c r="L326" s="111"/>
      <c r="M326" s="49" t="s">
        <v>13</v>
      </c>
      <c r="N326" s="61"/>
      <c r="O326" s="62"/>
      <c r="P326" s="283"/>
      <c r="Q326" s="71"/>
      <c r="R326" s="282"/>
      <c r="S326" s="94"/>
      <c r="T326" s="235"/>
    </row>
    <row r="327" spans="1:20" s="264" customFormat="1" ht="10.199999999999999" x14ac:dyDescent="0.2">
      <c r="A327" s="71"/>
      <c r="B327" s="71"/>
      <c r="C327" s="136"/>
      <c r="D327" s="136"/>
      <c r="E327" s="89"/>
      <c r="F327" s="89"/>
      <c r="G327" s="136"/>
      <c r="H327" s="136"/>
      <c r="I327" s="136"/>
      <c r="J327" s="136"/>
      <c r="K327" s="111"/>
      <c r="L327" s="111"/>
      <c r="M327" s="49" t="s">
        <v>14</v>
      </c>
      <c r="N327" s="61"/>
      <c r="O327" s="62"/>
      <c r="P327" s="283"/>
      <c r="Q327" s="71"/>
      <c r="R327" s="282"/>
      <c r="S327" s="94"/>
      <c r="T327" s="235"/>
    </row>
    <row r="328" spans="1:20" s="264" customFormat="1" ht="10.199999999999999" x14ac:dyDescent="0.2">
      <c r="A328" s="87"/>
      <c r="B328" s="87"/>
      <c r="C328" s="137"/>
      <c r="D328" s="137"/>
      <c r="E328" s="89"/>
      <c r="F328" s="89"/>
      <c r="G328" s="137"/>
      <c r="H328" s="137"/>
      <c r="I328" s="137"/>
      <c r="J328" s="137"/>
      <c r="K328" s="111"/>
      <c r="L328" s="111"/>
      <c r="M328" s="252" t="s">
        <v>533</v>
      </c>
      <c r="N328" s="33">
        <v>171.3</v>
      </c>
      <c r="O328" s="33">
        <v>171.3</v>
      </c>
      <c r="P328" s="284"/>
      <c r="Q328" s="87"/>
      <c r="R328" s="282"/>
      <c r="S328" s="94"/>
      <c r="T328" s="235"/>
    </row>
    <row r="329" spans="1:20" s="264" customFormat="1" ht="36.6" customHeight="1" x14ac:dyDescent="0.2">
      <c r="A329" s="58">
        <f>A323+1</f>
        <v>53</v>
      </c>
      <c r="B329" s="70">
        <v>43101</v>
      </c>
      <c r="C329" s="70">
        <v>44926</v>
      </c>
      <c r="D329" s="58" t="s">
        <v>26</v>
      </c>
      <c r="E329" s="58" t="s">
        <v>300</v>
      </c>
      <c r="F329" s="58" t="s">
        <v>299</v>
      </c>
      <c r="G329" s="58" t="s">
        <v>27</v>
      </c>
      <c r="H329" s="58" t="s">
        <v>508</v>
      </c>
      <c r="I329" s="58" t="s">
        <v>28</v>
      </c>
      <c r="J329" s="58">
        <v>52.5</v>
      </c>
      <c r="K329" s="67">
        <f>S329*6</f>
        <v>2896.9956000000002</v>
      </c>
      <c r="L329" s="67">
        <f>S329*3</f>
        <v>1448.4978000000001</v>
      </c>
      <c r="M329" s="49" t="s">
        <v>10</v>
      </c>
      <c r="N329" s="59" t="s">
        <v>457</v>
      </c>
      <c r="O329" s="60"/>
      <c r="P329" s="67" t="s">
        <v>27</v>
      </c>
      <c r="Q329" s="135"/>
      <c r="R329" s="282"/>
      <c r="S329" s="94">
        <f>(14.5*52.5*1.2*(1+1.2+0.9)*0.1)+(14.5*57.37*1.2*(1+0.1+0.9)*0.1)</f>
        <v>482.83260000000001</v>
      </c>
      <c r="T329" s="235"/>
    </row>
    <row r="330" spans="1:20" s="264" customFormat="1" ht="20.399999999999999" x14ac:dyDescent="0.2">
      <c r="A330" s="71"/>
      <c r="B330" s="293"/>
      <c r="C330" s="293"/>
      <c r="D330" s="293"/>
      <c r="E330" s="71"/>
      <c r="F330" s="71"/>
      <c r="G330" s="293"/>
      <c r="H330" s="293"/>
      <c r="I330" s="293"/>
      <c r="J330" s="293"/>
      <c r="K330" s="98"/>
      <c r="L330" s="98"/>
      <c r="M330" s="49" t="s">
        <v>11</v>
      </c>
      <c r="N330" s="59" t="s">
        <v>487</v>
      </c>
      <c r="O330" s="60"/>
      <c r="P330" s="98"/>
      <c r="Q330" s="136"/>
      <c r="R330" s="282"/>
      <c r="S330" s="94"/>
      <c r="T330" s="235"/>
    </row>
    <row r="331" spans="1:20" s="264" customFormat="1" ht="10.199999999999999" x14ac:dyDescent="0.2">
      <c r="A331" s="71"/>
      <c r="B331" s="293"/>
      <c r="C331" s="293"/>
      <c r="D331" s="293"/>
      <c r="E331" s="71"/>
      <c r="F331" s="71"/>
      <c r="G331" s="293"/>
      <c r="H331" s="293"/>
      <c r="I331" s="293"/>
      <c r="J331" s="293"/>
      <c r="K331" s="98"/>
      <c r="L331" s="98"/>
      <c r="M331" s="49" t="s">
        <v>12</v>
      </c>
      <c r="N331" s="61"/>
      <c r="O331" s="62"/>
      <c r="P331" s="98"/>
      <c r="Q331" s="136"/>
      <c r="R331" s="282"/>
      <c r="S331" s="94"/>
      <c r="T331" s="235"/>
    </row>
    <row r="332" spans="1:20" s="264" customFormat="1" ht="10.199999999999999" x14ac:dyDescent="0.2">
      <c r="A332" s="71"/>
      <c r="B332" s="293"/>
      <c r="C332" s="293"/>
      <c r="D332" s="293"/>
      <c r="E332" s="71"/>
      <c r="F332" s="71"/>
      <c r="G332" s="293"/>
      <c r="H332" s="293"/>
      <c r="I332" s="293"/>
      <c r="J332" s="293"/>
      <c r="K332" s="98"/>
      <c r="L332" s="98"/>
      <c r="M332" s="49" t="s">
        <v>13</v>
      </c>
      <c r="N332" s="61"/>
      <c r="O332" s="62"/>
      <c r="P332" s="98"/>
      <c r="Q332" s="136"/>
      <c r="R332" s="282"/>
      <c r="S332" s="94"/>
      <c r="T332" s="235"/>
    </row>
    <row r="333" spans="1:20" s="264" customFormat="1" ht="10.199999999999999" x14ac:dyDescent="0.2">
      <c r="A333" s="71"/>
      <c r="B333" s="293"/>
      <c r="C333" s="293"/>
      <c r="D333" s="293"/>
      <c r="E333" s="71"/>
      <c r="F333" s="71"/>
      <c r="G333" s="293"/>
      <c r="H333" s="293"/>
      <c r="I333" s="293"/>
      <c r="J333" s="293"/>
      <c r="K333" s="98"/>
      <c r="L333" s="98"/>
      <c r="M333" s="49" t="s">
        <v>14</v>
      </c>
      <c r="N333" s="61"/>
      <c r="O333" s="62"/>
      <c r="P333" s="98"/>
      <c r="Q333" s="136"/>
      <c r="R333" s="282"/>
      <c r="S333" s="94"/>
      <c r="T333" s="235"/>
    </row>
    <row r="334" spans="1:20" s="264" customFormat="1" x14ac:dyDescent="0.3">
      <c r="A334" s="87"/>
      <c r="B334" s="316"/>
      <c r="C334" s="316"/>
      <c r="D334" s="316"/>
      <c r="E334" s="66"/>
      <c r="F334" s="66"/>
      <c r="G334" s="316"/>
      <c r="H334" s="316"/>
      <c r="I334" s="316"/>
      <c r="J334" s="316"/>
      <c r="K334" s="66"/>
      <c r="L334" s="66"/>
      <c r="M334" s="252" t="s">
        <v>533</v>
      </c>
      <c r="N334" s="34">
        <v>1527</v>
      </c>
      <c r="O334" s="34">
        <v>88.53</v>
      </c>
      <c r="P334" s="42"/>
      <c r="Q334" s="53"/>
      <c r="R334" s="282"/>
      <c r="S334" s="317"/>
      <c r="T334" s="235"/>
    </row>
    <row r="335" spans="1:20" s="264" customFormat="1" ht="10.199999999999999" x14ac:dyDescent="0.2">
      <c r="A335" s="58">
        <f>A329+1</f>
        <v>54</v>
      </c>
      <c r="B335" s="95">
        <v>43320</v>
      </c>
      <c r="C335" s="95">
        <v>45145</v>
      </c>
      <c r="D335" s="58" t="s">
        <v>539</v>
      </c>
      <c r="E335" s="89" t="s">
        <v>300</v>
      </c>
      <c r="F335" s="89" t="s">
        <v>299</v>
      </c>
      <c r="G335" s="58" t="s">
        <v>56</v>
      </c>
      <c r="H335" s="58" t="s">
        <v>509</v>
      </c>
      <c r="I335" s="58" t="s">
        <v>57</v>
      </c>
      <c r="J335" s="58">
        <v>10.4</v>
      </c>
      <c r="K335" s="111">
        <f>S335*6</f>
        <v>180.96000000000004</v>
      </c>
      <c r="L335" s="111">
        <f>S335*3</f>
        <v>90.480000000000018</v>
      </c>
      <c r="M335" s="26" t="s">
        <v>10</v>
      </c>
      <c r="N335" s="34">
        <v>0</v>
      </c>
      <c r="O335" s="34">
        <v>0</v>
      </c>
      <c r="P335" s="67" t="s">
        <v>56</v>
      </c>
      <c r="Q335" s="58" t="s">
        <v>543</v>
      </c>
      <c r="R335" s="282"/>
      <c r="S335" s="94">
        <f>14.5*J335*1*(1+0.1+0.9)*0.1</f>
        <v>30.160000000000004</v>
      </c>
      <c r="T335" s="235"/>
    </row>
    <row r="336" spans="1:20" s="264" customFormat="1" ht="20.399999999999999" x14ac:dyDescent="0.2">
      <c r="A336" s="71"/>
      <c r="B336" s="71"/>
      <c r="C336" s="71"/>
      <c r="D336" s="136"/>
      <c r="E336" s="89"/>
      <c r="F336" s="89"/>
      <c r="G336" s="136"/>
      <c r="H336" s="136"/>
      <c r="I336" s="136"/>
      <c r="J336" s="136"/>
      <c r="K336" s="111"/>
      <c r="L336" s="111"/>
      <c r="M336" s="26" t="s">
        <v>11</v>
      </c>
      <c r="N336" s="34">
        <v>0</v>
      </c>
      <c r="O336" s="34">
        <v>0</v>
      </c>
      <c r="P336" s="92"/>
      <c r="Q336" s="71"/>
      <c r="R336" s="282"/>
      <c r="S336" s="94"/>
      <c r="T336" s="235"/>
    </row>
    <row r="337" spans="1:20" s="264" customFormat="1" ht="10.199999999999999" x14ac:dyDescent="0.2">
      <c r="A337" s="71"/>
      <c r="B337" s="71"/>
      <c r="C337" s="71"/>
      <c r="D337" s="136"/>
      <c r="E337" s="89"/>
      <c r="F337" s="89"/>
      <c r="G337" s="136"/>
      <c r="H337" s="136"/>
      <c r="I337" s="136"/>
      <c r="J337" s="136"/>
      <c r="K337" s="111"/>
      <c r="L337" s="111"/>
      <c r="M337" s="26" t="s">
        <v>12</v>
      </c>
      <c r="N337" s="34">
        <v>0</v>
      </c>
      <c r="O337" s="34">
        <v>0</v>
      </c>
      <c r="P337" s="92"/>
      <c r="Q337" s="71"/>
      <c r="R337" s="282"/>
      <c r="S337" s="94"/>
      <c r="T337" s="235"/>
    </row>
    <row r="338" spans="1:20" s="264" customFormat="1" ht="10.199999999999999" x14ac:dyDescent="0.2">
      <c r="A338" s="71"/>
      <c r="B338" s="71"/>
      <c r="C338" s="71"/>
      <c r="D338" s="136"/>
      <c r="E338" s="89"/>
      <c r="F338" s="89"/>
      <c r="G338" s="136"/>
      <c r="H338" s="136"/>
      <c r="I338" s="136"/>
      <c r="J338" s="136"/>
      <c r="K338" s="111"/>
      <c r="L338" s="111"/>
      <c r="M338" s="26" t="s">
        <v>13</v>
      </c>
      <c r="N338" s="34">
        <v>0</v>
      </c>
      <c r="O338" s="34">
        <v>0</v>
      </c>
      <c r="P338" s="92"/>
      <c r="Q338" s="71"/>
      <c r="R338" s="282"/>
      <c r="S338" s="94"/>
      <c r="T338" s="235"/>
    </row>
    <row r="339" spans="1:20" s="264" customFormat="1" ht="10.199999999999999" x14ac:dyDescent="0.2">
      <c r="A339" s="71"/>
      <c r="B339" s="71"/>
      <c r="C339" s="71"/>
      <c r="D339" s="136"/>
      <c r="E339" s="89"/>
      <c r="F339" s="89"/>
      <c r="G339" s="136"/>
      <c r="H339" s="136"/>
      <c r="I339" s="136"/>
      <c r="J339" s="136"/>
      <c r="K339" s="111"/>
      <c r="L339" s="111"/>
      <c r="M339" s="26" t="s">
        <v>14</v>
      </c>
      <c r="N339" s="34">
        <v>0</v>
      </c>
      <c r="O339" s="34">
        <v>0</v>
      </c>
      <c r="P339" s="92"/>
      <c r="Q339" s="71"/>
      <c r="R339" s="282"/>
      <c r="S339" s="94"/>
      <c r="T339" s="235"/>
    </row>
    <row r="340" spans="1:20" s="264" customFormat="1" ht="10.199999999999999" x14ac:dyDescent="0.2">
      <c r="A340" s="87"/>
      <c r="B340" s="87"/>
      <c r="C340" s="87"/>
      <c r="D340" s="137"/>
      <c r="E340" s="89"/>
      <c r="F340" s="89"/>
      <c r="G340" s="137"/>
      <c r="H340" s="137"/>
      <c r="I340" s="137"/>
      <c r="J340" s="137"/>
      <c r="K340" s="111"/>
      <c r="L340" s="111"/>
      <c r="M340" s="252" t="s">
        <v>533</v>
      </c>
      <c r="N340" s="27">
        <v>157.80000000000001</v>
      </c>
      <c r="O340" s="27">
        <v>20.96</v>
      </c>
      <c r="P340" s="78"/>
      <c r="Q340" s="87"/>
      <c r="R340" s="282"/>
      <c r="S340" s="94"/>
      <c r="T340" s="235"/>
    </row>
    <row r="341" spans="1:20" s="269" customFormat="1" ht="10.199999999999999" x14ac:dyDescent="0.2">
      <c r="A341" s="148">
        <f>A335+1</f>
        <v>55</v>
      </c>
      <c r="B341" s="153">
        <v>45089</v>
      </c>
      <c r="C341" s="153">
        <v>46102</v>
      </c>
      <c r="D341" s="148" t="s">
        <v>633</v>
      </c>
      <c r="E341" s="148" t="s">
        <v>300</v>
      </c>
      <c r="F341" s="148" t="s">
        <v>299</v>
      </c>
      <c r="G341" s="148" t="s">
        <v>67</v>
      </c>
      <c r="H341" s="148" t="s">
        <v>346</v>
      </c>
      <c r="I341" s="148" t="s">
        <v>68</v>
      </c>
      <c r="J341" s="148">
        <v>28.05</v>
      </c>
      <c r="K341" s="266">
        <f>S341*6</f>
        <v>488.07000000000005</v>
      </c>
      <c r="L341" s="266">
        <f>S341*3</f>
        <v>244.03500000000003</v>
      </c>
      <c r="M341" s="17" t="s">
        <v>10</v>
      </c>
      <c r="N341" s="318">
        <v>0</v>
      </c>
      <c r="O341" s="216" t="s">
        <v>571</v>
      </c>
      <c r="P341" s="73"/>
      <c r="Q341" s="101" t="s">
        <v>546</v>
      </c>
      <c r="R341" s="319"/>
      <c r="S341" s="257">
        <f>14.5*J341*1*(1+0.1+0.9)*0.1</f>
        <v>81.345000000000013</v>
      </c>
      <c r="T341" s="268"/>
    </row>
    <row r="342" spans="1:20" s="269" customFormat="1" ht="20.399999999999999" x14ac:dyDescent="0.2">
      <c r="A342" s="148"/>
      <c r="B342" s="148"/>
      <c r="C342" s="320"/>
      <c r="D342" s="320"/>
      <c r="E342" s="148"/>
      <c r="F342" s="320"/>
      <c r="G342" s="320"/>
      <c r="H342" s="320"/>
      <c r="I342" s="320"/>
      <c r="J342" s="320"/>
      <c r="K342" s="266"/>
      <c r="L342" s="266"/>
      <c r="M342" s="17" t="s">
        <v>11</v>
      </c>
      <c r="N342" s="318">
        <v>0</v>
      </c>
      <c r="O342" s="321"/>
      <c r="P342" s="75"/>
      <c r="Q342" s="102"/>
      <c r="R342" s="319"/>
      <c r="S342" s="257"/>
      <c r="T342" s="268"/>
    </row>
    <row r="343" spans="1:20" s="269" customFormat="1" ht="10.199999999999999" x14ac:dyDescent="0.2">
      <c r="A343" s="148"/>
      <c r="B343" s="148"/>
      <c r="C343" s="320"/>
      <c r="D343" s="320"/>
      <c r="E343" s="148"/>
      <c r="F343" s="320"/>
      <c r="G343" s="320"/>
      <c r="H343" s="320"/>
      <c r="I343" s="320"/>
      <c r="J343" s="320"/>
      <c r="K343" s="266"/>
      <c r="L343" s="266"/>
      <c r="M343" s="17" t="s">
        <v>12</v>
      </c>
      <c r="N343" s="318">
        <v>0</v>
      </c>
      <c r="O343" s="321"/>
      <c r="P343" s="75"/>
      <c r="Q343" s="102"/>
      <c r="R343" s="319"/>
      <c r="S343" s="257"/>
      <c r="T343" s="268"/>
    </row>
    <row r="344" spans="1:20" s="269" customFormat="1" ht="10.199999999999999" x14ac:dyDescent="0.2">
      <c r="A344" s="148"/>
      <c r="B344" s="148"/>
      <c r="C344" s="320"/>
      <c r="D344" s="320"/>
      <c r="E344" s="148"/>
      <c r="F344" s="320"/>
      <c r="G344" s="320"/>
      <c r="H344" s="320"/>
      <c r="I344" s="320"/>
      <c r="J344" s="320"/>
      <c r="K344" s="266"/>
      <c r="L344" s="266"/>
      <c r="M344" s="17" t="s">
        <v>13</v>
      </c>
      <c r="N344" s="318">
        <v>0</v>
      </c>
      <c r="O344" s="321"/>
      <c r="P344" s="75"/>
      <c r="Q344" s="102"/>
      <c r="R344" s="319"/>
      <c r="S344" s="257"/>
      <c r="T344" s="268"/>
    </row>
    <row r="345" spans="1:20" s="269" customFormat="1" ht="10.199999999999999" x14ac:dyDescent="0.2">
      <c r="A345" s="148"/>
      <c r="B345" s="148"/>
      <c r="C345" s="320"/>
      <c r="D345" s="320"/>
      <c r="E345" s="148"/>
      <c r="F345" s="320"/>
      <c r="G345" s="320"/>
      <c r="H345" s="320"/>
      <c r="I345" s="320"/>
      <c r="J345" s="320"/>
      <c r="K345" s="266"/>
      <c r="L345" s="266"/>
      <c r="M345" s="17" t="s">
        <v>14</v>
      </c>
      <c r="N345" s="23">
        <v>0</v>
      </c>
      <c r="O345" s="321"/>
      <c r="P345" s="75"/>
      <c r="Q345" s="102"/>
      <c r="R345" s="319"/>
      <c r="S345" s="257"/>
      <c r="T345" s="268"/>
    </row>
    <row r="346" spans="1:20" s="269" customFormat="1" ht="10.199999999999999" x14ac:dyDescent="0.2">
      <c r="A346" s="148"/>
      <c r="B346" s="148"/>
      <c r="C346" s="320"/>
      <c r="D346" s="320"/>
      <c r="E346" s="148"/>
      <c r="F346" s="320"/>
      <c r="G346" s="320"/>
      <c r="H346" s="320"/>
      <c r="I346" s="320"/>
      <c r="J346" s="320"/>
      <c r="K346" s="266"/>
      <c r="L346" s="266"/>
      <c r="M346" s="17" t="s">
        <v>533</v>
      </c>
      <c r="N346" s="23">
        <v>0</v>
      </c>
      <c r="O346" s="322"/>
      <c r="P346" s="77"/>
      <c r="Q346" s="187"/>
      <c r="R346" s="319"/>
      <c r="S346" s="257"/>
      <c r="T346" s="268"/>
    </row>
    <row r="347" spans="1:20" s="264" customFormat="1" ht="10.199999999999999" x14ac:dyDescent="0.2">
      <c r="A347" s="58">
        <f>A341+1</f>
        <v>56</v>
      </c>
      <c r="B347" s="134">
        <v>45011</v>
      </c>
      <c r="C347" s="134">
        <v>46022</v>
      </c>
      <c r="D347" s="90" t="s">
        <v>584</v>
      </c>
      <c r="E347" s="89" t="s">
        <v>300</v>
      </c>
      <c r="F347" s="89" t="s">
        <v>299</v>
      </c>
      <c r="G347" s="90" t="s">
        <v>88</v>
      </c>
      <c r="H347" s="90" t="s">
        <v>348</v>
      </c>
      <c r="I347" s="90" t="s">
        <v>87</v>
      </c>
      <c r="J347" s="91">
        <v>17.600000000000001</v>
      </c>
      <c r="K347" s="111">
        <f>S347*6</f>
        <v>6835.2767999999996</v>
      </c>
      <c r="L347" s="111">
        <f>S347*3</f>
        <v>3417.6383999999998</v>
      </c>
      <c r="M347" s="49" t="s">
        <v>10</v>
      </c>
      <c r="N347" s="34">
        <v>0</v>
      </c>
      <c r="O347" s="34">
        <v>0</v>
      </c>
      <c r="P347" s="115" t="s">
        <v>88</v>
      </c>
      <c r="Q347" s="89"/>
      <c r="R347" s="282"/>
      <c r="S347" s="94">
        <f>14.5*J347*1.2*(1+1.2+0.9)*1.2</f>
        <v>1139.2128</v>
      </c>
      <c r="T347" s="235"/>
    </row>
    <row r="348" spans="1:20" s="264" customFormat="1" ht="20.399999999999999" x14ac:dyDescent="0.2">
      <c r="A348" s="71"/>
      <c r="B348" s="176"/>
      <c r="C348" s="176"/>
      <c r="D348" s="176"/>
      <c r="E348" s="89"/>
      <c r="F348" s="176"/>
      <c r="G348" s="176"/>
      <c r="H348" s="176"/>
      <c r="I348" s="176"/>
      <c r="J348" s="176"/>
      <c r="K348" s="175"/>
      <c r="L348" s="175"/>
      <c r="M348" s="49" t="s">
        <v>11</v>
      </c>
      <c r="N348" s="34">
        <v>0</v>
      </c>
      <c r="O348" s="34">
        <v>0</v>
      </c>
      <c r="P348" s="175"/>
      <c r="Q348" s="89"/>
      <c r="R348" s="282"/>
      <c r="S348" s="94"/>
      <c r="T348" s="235"/>
    </row>
    <row r="349" spans="1:20" s="264" customFormat="1" ht="10.199999999999999" x14ac:dyDescent="0.2">
      <c r="A349" s="71"/>
      <c r="B349" s="176"/>
      <c r="C349" s="176"/>
      <c r="D349" s="176"/>
      <c r="E349" s="89"/>
      <c r="F349" s="176"/>
      <c r="G349" s="176"/>
      <c r="H349" s="176"/>
      <c r="I349" s="176"/>
      <c r="J349" s="176"/>
      <c r="K349" s="175"/>
      <c r="L349" s="175"/>
      <c r="M349" s="49" t="s">
        <v>12</v>
      </c>
      <c r="N349" s="34">
        <v>0</v>
      </c>
      <c r="O349" s="34">
        <v>0</v>
      </c>
      <c r="P349" s="175"/>
      <c r="Q349" s="89"/>
      <c r="R349" s="282"/>
      <c r="S349" s="94"/>
      <c r="T349" s="235"/>
    </row>
    <row r="350" spans="1:20" s="264" customFormat="1" ht="10.199999999999999" x14ac:dyDescent="0.2">
      <c r="A350" s="71"/>
      <c r="B350" s="176"/>
      <c r="C350" s="176"/>
      <c r="D350" s="176"/>
      <c r="E350" s="89"/>
      <c r="F350" s="176"/>
      <c r="G350" s="176"/>
      <c r="H350" s="176"/>
      <c r="I350" s="176"/>
      <c r="J350" s="176"/>
      <c r="K350" s="175"/>
      <c r="L350" s="175"/>
      <c r="M350" s="49" t="s">
        <v>13</v>
      </c>
      <c r="N350" s="34">
        <v>0</v>
      </c>
      <c r="O350" s="34">
        <v>0</v>
      </c>
      <c r="P350" s="175"/>
      <c r="Q350" s="89"/>
      <c r="R350" s="282"/>
      <c r="S350" s="94"/>
      <c r="T350" s="235"/>
    </row>
    <row r="351" spans="1:20" s="264" customFormat="1" ht="10.199999999999999" x14ac:dyDescent="0.2">
      <c r="A351" s="71"/>
      <c r="B351" s="176"/>
      <c r="C351" s="176"/>
      <c r="D351" s="176"/>
      <c r="E351" s="89"/>
      <c r="F351" s="176"/>
      <c r="G351" s="176"/>
      <c r="H351" s="176"/>
      <c r="I351" s="176"/>
      <c r="J351" s="176"/>
      <c r="K351" s="175"/>
      <c r="L351" s="175"/>
      <c r="M351" s="49" t="s">
        <v>14</v>
      </c>
      <c r="N351" s="34">
        <v>0</v>
      </c>
      <c r="O351" s="34">
        <v>0</v>
      </c>
      <c r="P351" s="175"/>
      <c r="Q351" s="89"/>
      <c r="R351" s="282"/>
      <c r="S351" s="94"/>
      <c r="T351" s="235"/>
    </row>
    <row r="352" spans="1:20" s="264" customFormat="1" ht="10.199999999999999" x14ac:dyDescent="0.2">
      <c r="A352" s="87"/>
      <c r="B352" s="176"/>
      <c r="C352" s="176"/>
      <c r="D352" s="176"/>
      <c r="E352" s="89"/>
      <c r="F352" s="176"/>
      <c r="G352" s="176"/>
      <c r="H352" s="176"/>
      <c r="I352" s="176"/>
      <c r="J352" s="176"/>
      <c r="K352" s="175"/>
      <c r="L352" s="175"/>
      <c r="M352" s="49" t="s">
        <v>533</v>
      </c>
      <c r="N352" s="34">
        <v>101.8</v>
      </c>
      <c r="O352" s="34">
        <v>33.71</v>
      </c>
      <c r="P352" s="175"/>
      <c r="Q352" s="89"/>
      <c r="R352" s="282"/>
      <c r="S352" s="94"/>
      <c r="T352" s="235"/>
    </row>
    <row r="353" spans="1:20" s="269" customFormat="1" ht="10.199999999999999" x14ac:dyDescent="0.2">
      <c r="A353" s="101">
        <f>A347+1</f>
        <v>57</v>
      </c>
      <c r="B353" s="105">
        <v>45089</v>
      </c>
      <c r="C353" s="105">
        <v>46111</v>
      </c>
      <c r="D353" s="101" t="s">
        <v>629</v>
      </c>
      <c r="E353" s="148" t="s">
        <v>300</v>
      </c>
      <c r="F353" s="101" t="s">
        <v>299</v>
      </c>
      <c r="G353" s="101" t="s">
        <v>93</v>
      </c>
      <c r="H353" s="101" t="s">
        <v>630</v>
      </c>
      <c r="I353" s="101" t="s">
        <v>478</v>
      </c>
      <c r="J353" s="101">
        <v>34.200000000000003</v>
      </c>
      <c r="K353" s="266">
        <f>S353*6</f>
        <v>173.20165740272867</v>
      </c>
      <c r="L353" s="266">
        <f>S353*3</f>
        <v>86.600828701364335</v>
      </c>
      <c r="M353" s="16" t="s">
        <v>10</v>
      </c>
      <c r="N353" s="45">
        <v>3.26</v>
      </c>
      <c r="O353" s="216" t="s">
        <v>631</v>
      </c>
      <c r="P353" s="73"/>
      <c r="Q353" s="101"/>
      <c r="R353" s="319"/>
      <c r="S353" s="257">
        <f>14.5*J353*1*(1+0.1+0.9)*1.2*12/1979*4</f>
        <v>28.866942900454777</v>
      </c>
      <c r="T353" s="268"/>
    </row>
    <row r="354" spans="1:20" s="269" customFormat="1" ht="20.399999999999999" x14ac:dyDescent="0.2">
      <c r="A354" s="102"/>
      <c r="B354" s="323"/>
      <c r="C354" s="323"/>
      <c r="D354" s="323"/>
      <c r="E354" s="148"/>
      <c r="F354" s="323"/>
      <c r="G354" s="323"/>
      <c r="H354" s="323"/>
      <c r="I354" s="323"/>
      <c r="J354" s="323"/>
      <c r="K354" s="204"/>
      <c r="L354" s="204"/>
      <c r="M354" s="17" t="s">
        <v>11</v>
      </c>
      <c r="N354" s="318">
        <v>0.13</v>
      </c>
      <c r="O354" s="321"/>
      <c r="P354" s="75"/>
      <c r="Q354" s="102"/>
      <c r="R354" s="319"/>
      <c r="S354" s="257"/>
      <c r="T354" s="268"/>
    </row>
    <row r="355" spans="1:20" s="269" customFormat="1" ht="10.199999999999999" x14ac:dyDescent="0.2">
      <c r="A355" s="102"/>
      <c r="B355" s="323"/>
      <c r="C355" s="323"/>
      <c r="D355" s="323"/>
      <c r="E355" s="148"/>
      <c r="F355" s="323"/>
      <c r="G355" s="323"/>
      <c r="H355" s="323"/>
      <c r="I355" s="323"/>
      <c r="J355" s="323"/>
      <c r="K355" s="204"/>
      <c r="L355" s="204"/>
      <c r="M355" s="17" t="s">
        <v>12</v>
      </c>
      <c r="N355" s="318">
        <v>0</v>
      </c>
      <c r="O355" s="321"/>
      <c r="P355" s="75"/>
      <c r="Q355" s="102"/>
      <c r="R355" s="319"/>
      <c r="S355" s="257"/>
      <c r="T355" s="268"/>
    </row>
    <row r="356" spans="1:20" s="269" customFormat="1" ht="10.199999999999999" x14ac:dyDescent="0.2">
      <c r="A356" s="102"/>
      <c r="B356" s="323"/>
      <c r="C356" s="323"/>
      <c r="D356" s="323"/>
      <c r="E356" s="148"/>
      <c r="F356" s="323"/>
      <c r="G356" s="323"/>
      <c r="H356" s="323"/>
      <c r="I356" s="323"/>
      <c r="J356" s="323"/>
      <c r="K356" s="204"/>
      <c r="L356" s="204"/>
      <c r="M356" s="17" t="s">
        <v>13</v>
      </c>
      <c r="N356" s="45">
        <v>8.64</v>
      </c>
      <c r="O356" s="321"/>
      <c r="P356" s="75"/>
      <c r="Q356" s="102"/>
      <c r="R356" s="319"/>
      <c r="S356" s="257"/>
      <c r="T356" s="268"/>
    </row>
    <row r="357" spans="1:20" s="269" customFormat="1" ht="10.199999999999999" x14ac:dyDescent="0.2">
      <c r="A357" s="102"/>
      <c r="B357" s="323"/>
      <c r="C357" s="323"/>
      <c r="D357" s="323"/>
      <c r="E357" s="148"/>
      <c r="F357" s="323"/>
      <c r="G357" s="323"/>
      <c r="H357" s="323"/>
      <c r="I357" s="323"/>
      <c r="J357" s="323"/>
      <c r="K357" s="204"/>
      <c r="L357" s="204"/>
      <c r="M357" s="17" t="s">
        <v>14</v>
      </c>
      <c r="N357" s="23">
        <v>0</v>
      </c>
      <c r="O357" s="321"/>
      <c r="P357" s="75"/>
      <c r="Q357" s="102"/>
      <c r="R357" s="319"/>
      <c r="S357" s="257"/>
      <c r="T357" s="268"/>
    </row>
    <row r="358" spans="1:20" s="269" customFormat="1" ht="10.199999999999999" x14ac:dyDescent="0.2">
      <c r="A358" s="187"/>
      <c r="B358" s="324"/>
      <c r="C358" s="324"/>
      <c r="D358" s="324"/>
      <c r="E358" s="148"/>
      <c r="F358" s="324"/>
      <c r="G358" s="324"/>
      <c r="H358" s="324"/>
      <c r="I358" s="324"/>
      <c r="J358" s="324"/>
      <c r="K358" s="204"/>
      <c r="L358" s="204"/>
      <c r="M358" s="261" t="s">
        <v>533</v>
      </c>
      <c r="N358" s="23">
        <v>0</v>
      </c>
      <c r="O358" s="322"/>
      <c r="P358" s="77"/>
      <c r="Q358" s="187"/>
      <c r="R358" s="319"/>
      <c r="S358" s="257"/>
      <c r="T358" s="268"/>
    </row>
    <row r="359" spans="1:20" s="269" customFormat="1" ht="10.199999999999999" x14ac:dyDescent="0.2">
      <c r="A359" s="101">
        <f>A353+1</f>
        <v>58</v>
      </c>
      <c r="B359" s="105">
        <v>43921</v>
      </c>
      <c r="C359" s="105">
        <v>45015</v>
      </c>
      <c r="D359" s="101" t="s">
        <v>94</v>
      </c>
      <c r="E359" s="148" t="s">
        <v>300</v>
      </c>
      <c r="F359" s="101" t="s">
        <v>299</v>
      </c>
      <c r="G359" s="101" t="s">
        <v>93</v>
      </c>
      <c r="H359" s="101" t="s">
        <v>349</v>
      </c>
      <c r="I359" s="101" t="s">
        <v>95</v>
      </c>
      <c r="J359" s="101">
        <v>64.3</v>
      </c>
      <c r="K359" s="266">
        <f>S359*3</f>
        <v>651.27874684183939</v>
      </c>
      <c r="L359" s="266">
        <f>S359*3</f>
        <v>651.27874684183939</v>
      </c>
      <c r="M359" s="17" t="s">
        <v>10</v>
      </c>
      <c r="N359" s="318">
        <v>3.26</v>
      </c>
      <c r="O359" s="216" t="s">
        <v>652</v>
      </c>
      <c r="P359" s="73"/>
      <c r="Q359" s="101" t="s">
        <v>632</v>
      </c>
      <c r="R359" s="319"/>
      <c r="S359" s="257">
        <f>14.5*J359*1*(1+0.1+0.9)*1.2*12/1979*16</f>
        <v>217.09291561394645</v>
      </c>
      <c r="T359" s="268"/>
    </row>
    <row r="360" spans="1:20" s="269" customFormat="1" ht="20.399999999999999" x14ac:dyDescent="0.2">
      <c r="A360" s="102"/>
      <c r="B360" s="323"/>
      <c r="C360" s="323"/>
      <c r="D360" s="323"/>
      <c r="E360" s="148"/>
      <c r="F360" s="323"/>
      <c r="G360" s="323"/>
      <c r="H360" s="323"/>
      <c r="I360" s="323"/>
      <c r="J360" s="323"/>
      <c r="K360" s="204"/>
      <c r="L360" s="204"/>
      <c r="M360" s="17" t="s">
        <v>11</v>
      </c>
      <c r="N360" s="318">
        <v>0.4</v>
      </c>
      <c r="O360" s="321"/>
      <c r="P360" s="75"/>
      <c r="Q360" s="102"/>
      <c r="R360" s="319"/>
      <c r="S360" s="257"/>
      <c r="T360" s="268"/>
    </row>
    <row r="361" spans="1:20" s="269" customFormat="1" ht="10.199999999999999" x14ac:dyDescent="0.2">
      <c r="A361" s="102"/>
      <c r="B361" s="323"/>
      <c r="C361" s="323"/>
      <c r="D361" s="323"/>
      <c r="E361" s="148"/>
      <c r="F361" s="323"/>
      <c r="G361" s="323"/>
      <c r="H361" s="323"/>
      <c r="I361" s="323"/>
      <c r="J361" s="323"/>
      <c r="K361" s="204"/>
      <c r="L361" s="204"/>
      <c r="M361" s="17" t="s">
        <v>12</v>
      </c>
      <c r="N361" s="318">
        <v>0</v>
      </c>
      <c r="O361" s="321"/>
      <c r="P361" s="75"/>
      <c r="Q361" s="102"/>
      <c r="R361" s="319"/>
      <c r="S361" s="257"/>
      <c r="T361" s="268"/>
    </row>
    <row r="362" spans="1:20" s="269" customFormat="1" ht="10.199999999999999" x14ac:dyDescent="0.2">
      <c r="A362" s="102"/>
      <c r="B362" s="323"/>
      <c r="C362" s="323"/>
      <c r="D362" s="323"/>
      <c r="E362" s="148"/>
      <c r="F362" s="323"/>
      <c r="G362" s="323"/>
      <c r="H362" s="323"/>
      <c r="I362" s="323"/>
      <c r="J362" s="323"/>
      <c r="K362" s="204"/>
      <c r="L362" s="204"/>
      <c r="M362" s="17" t="s">
        <v>13</v>
      </c>
      <c r="N362" s="318">
        <v>0</v>
      </c>
      <c r="O362" s="321"/>
      <c r="P362" s="75"/>
      <c r="Q362" s="102"/>
      <c r="R362" s="319"/>
      <c r="S362" s="257"/>
      <c r="T362" s="268"/>
    </row>
    <row r="363" spans="1:20" s="269" customFormat="1" ht="10.199999999999999" x14ac:dyDescent="0.2">
      <c r="A363" s="102"/>
      <c r="B363" s="323"/>
      <c r="C363" s="323"/>
      <c r="D363" s="323"/>
      <c r="E363" s="148"/>
      <c r="F363" s="323"/>
      <c r="G363" s="323"/>
      <c r="H363" s="323"/>
      <c r="I363" s="323"/>
      <c r="J363" s="323"/>
      <c r="K363" s="204"/>
      <c r="L363" s="204"/>
      <c r="M363" s="17" t="s">
        <v>14</v>
      </c>
      <c r="N363" s="318">
        <v>0</v>
      </c>
      <c r="O363" s="321"/>
      <c r="P363" s="75"/>
      <c r="Q363" s="102"/>
      <c r="R363" s="319"/>
      <c r="S363" s="257"/>
      <c r="T363" s="268"/>
    </row>
    <row r="364" spans="1:20" s="269" customFormat="1" ht="10.199999999999999" x14ac:dyDescent="0.2">
      <c r="A364" s="187"/>
      <c r="B364" s="324"/>
      <c r="C364" s="324"/>
      <c r="D364" s="324"/>
      <c r="E364" s="148"/>
      <c r="F364" s="324"/>
      <c r="G364" s="324"/>
      <c r="H364" s="324"/>
      <c r="I364" s="324"/>
      <c r="J364" s="324"/>
      <c r="K364" s="204"/>
      <c r="L364" s="204"/>
      <c r="M364" s="261" t="s">
        <v>533</v>
      </c>
      <c r="N364" s="318">
        <v>0</v>
      </c>
      <c r="O364" s="322"/>
      <c r="P364" s="77"/>
      <c r="Q364" s="187"/>
      <c r="R364" s="319"/>
      <c r="S364" s="257"/>
      <c r="T364" s="268"/>
    </row>
    <row r="365" spans="1:20" s="269" customFormat="1" ht="10.199999999999999" x14ac:dyDescent="0.2">
      <c r="A365" s="101">
        <f>A359+1</f>
        <v>59</v>
      </c>
      <c r="B365" s="105">
        <v>45012</v>
      </c>
      <c r="C365" s="105">
        <v>45252</v>
      </c>
      <c r="D365" s="101" t="s">
        <v>576</v>
      </c>
      <c r="E365" s="101" t="s">
        <v>300</v>
      </c>
      <c r="F365" s="101" t="s">
        <v>299</v>
      </c>
      <c r="G365" s="101" t="s">
        <v>352</v>
      </c>
      <c r="H365" s="101" t="s">
        <v>350</v>
      </c>
      <c r="I365" s="101" t="s">
        <v>106</v>
      </c>
      <c r="J365" s="148">
        <v>91.9</v>
      </c>
      <c r="K365" s="72">
        <f>(S365+S367)*6</f>
        <v>34888.392</v>
      </c>
      <c r="L365" s="72">
        <f>(S365+S367)*3</f>
        <v>17444.196</v>
      </c>
      <c r="M365" s="17" t="s">
        <v>10</v>
      </c>
      <c r="N365" s="23">
        <v>0</v>
      </c>
      <c r="O365" s="23">
        <v>0</v>
      </c>
      <c r="P365" s="112" t="s">
        <v>352</v>
      </c>
      <c r="Q365" s="101"/>
      <c r="R365" s="319"/>
      <c r="S365" s="257">
        <f>14.5*J365*1.1*(1+0.1+0.9)*1.2</f>
        <v>3517.9320000000007</v>
      </c>
      <c r="T365" s="268"/>
    </row>
    <row r="366" spans="1:20" s="269" customFormat="1" ht="20.399999999999999" x14ac:dyDescent="0.2">
      <c r="A366" s="102"/>
      <c r="B366" s="102"/>
      <c r="C366" s="102"/>
      <c r="D366" s="102"/>
      <c r="E366" s="102"/>
      <c r="F366" s="325"/>
      <c r="G366" s="102"/>
      <c r="H366" s="326"/>
      <c r="I366" s="102"/>
      <c r="J366" s="327"/>
      <c r="K366" s="328"/>
      <c r="L366" s="328"/>
      <c r="M366" s="17" t="s">
        <v>11</v>
      </c>
      <c r="N366" s="23">
        <v>0</v>
      </c>
      <c r="O366" s="23">
        <v>0</v>
      </c>
      <c r="P366" s="192"/>
      <c r="Q366" s="102"/>
      <c r="R366" s="319"/>
      <c r="S366" s="257"/>
      <c r="T366" s="268"/>
    </row>
    <row r="367" spans="1:20" s="269" customFormat="1" ht="10.199999999999999" x14ac:dyDescent="0.2">
      <c r="A367" s="102"/>
      <c r="B367" s="325"/>
      <c r="C367" s="325"/>
      <c r="D367" s="325"/>
      <c r="E367" s="102"/>
      <c r="F367" s="325"/>
      <c r="G367" s="325"/>
      <c r="H367" s="101" t="s">
        <v>351</v>
      </c>
      <c r="I367" s="325"/>
      <c r="J367" s="101">
        <v>66</v>
      </c>
      <c r="K367" s="328"/>
      <c r="L367" s="328"/>
      <c r="M367" s="17" t="s">
        <v>12</v>
      </c>
      <c r="N367" s="23">
        <v>0</v>
      </c>
      <c r="O367" s="23">
        <v>0</v>
      </c>
      <c r="P367" s="192"/>
      <c r="Q367" s="102"/>
      <c r="R367" s="319"/>
      <c r="S367" s="257">
        <f>14.5*J367*1*(1+0.1+0.9)*1.2</f>
        <v>2296.7999999999997</v>
      </c>
      <c r="T367" s="268"/>
    </row>
    <row r="368" spans="1:20" s="269" customFormat="1" ht="10.199999999999999" x14ac:dyDescent="0.2">
      <c r="A368" s="102"/>
      <c r="B368" s="325"/>
      <c r="C368" s="325"/>
      <c r="D368" s="325"/>
      <c r="E368" s="102"/>
      <c r="F368" s="325"/>
      <c r="G368" s="325"/>
      <c r="H368" s="325"/>
      <c r="I368" s="325"/>
      <c r="J368" s="325"/>
      <c r="K368" s="328"/>
      <c r="L368" s="328"/>
      <c r="M368" s="17" t="s">
        <v>13</v>
      </c>
      <c r="N368" s="23">
        <v>0</v>
      </c>
      <c r="O368" s="23">
        <v>0</v>
      </c>
      <c r="P368" s="192"/>
      <c r="Q368" s="102"/>
      <c r="R368" s="319"/>
      <c r="S368" s="257"/>
      <c r="T368" s="268"/>
    </row>
    <row r="369" spans="1:20" s="269" customFormat="1" ht="10.199999999999999" x14ac:dyDescent="0.2">
      <c r="A369" s="102"/>
      <c r="B369" s="325"/>
      <c r="C369" s="325"/>
      <c r="D369" s="325"/>
      <c r="E369" s="102"/>
      <c r="F369" s="325"/>
      <c r="G369" s="325"/>
      <c r="H369" s="325"/>
      <c r="I369" s="325"/>
      <c r="J369" s="325"/>
      <c r="K369" s="328"/>
      <c r="L369" s="328"/>
      <c r="M369" s="17" t="s">
        <v>14</v>
      </c>
      <c r="N369" s="23">
        <v>0</v>
      </c>
      <c r="O369" s="23">
        <v>0</v>
      </c>
      <c r="P369" s="192"/>
      <c r="Q369" s="102"/>
      <c r="R369" s="319"/>
      <c r="S369" s="257"/>
      <c r="T369" s="268"/>
    </row>
    <row r="370" spans="1:20" s="269" customFormat="1" ht="10.199999999999999" x14ac:dyDescent="0.2">
      <c r="A370" s="187"/>
      <c r="B370" s="329"/>
      <c r="C370" s="329"/>
      <c r="D370" s="329"/>
      <c r="E370" s="187"/>
      <c r="F370" s="329"/>
      <c r="G370" s="329"/>
      <c r="H370" s="329"/>
      <c r="I370" s="329"/>
      <c r="J370" s="329"/>
      <c r="K370" s="330"/>
      <c r="L370" s="330"/>
      <c r="M370" s="17" t="s">
        <v>533</v>
      </c>
      <c r="N370" s="23">
        <v>733.1</v>
      </c>
      <c r="O370" s="23">
        <v>303.18</v>
      </c>
      <c r="P370" s="331"/>
      <c r="Q370" s="187"/>
      <c r="R370" s="319"/>
      <c r="S370" s="257"/>
      <c r="T370" s="268"/>
    </row>
    <row r="371" spans="1:20" s="269" customFormat="1" ht="10.199999999999999" x14ac:dyDescent="0.2">
      <c r="A371" s="101">
        <f>A365+1</f>
        <v>60</v>
      </c>
      <c r="B371" s="156">
        <v>44120</v>
      </c>
      <c r="C371" s="105">
        <v>45190</v>
      </c>
      <c r="D371" s="57" t="s">
        <v>107</v>
      </c>
      <c r="E371" s="101" t="s">
        <v>300</v>
      </c>
      <c r="F371" s="101" t="s">
        <v>299</v>
      </c>
      <c r="G371" s="57" t="s">
        <v>108</v>
      </c>
      <c r="H371" s="177" t="s">
        <v>353</v>
      </c>
      <c r="I371" s="156" t="s">
        <v>109</v>
      </c>
      <c r="J371" s="177">
        <v>247.7</v>
      </c>
      <c r="K371" s="72">
        <f>S371*6</f>
        <v>30062.110499999999</v>
      </c>
      <c r="L371" s="72">
        <f>S371*3</f>
        <v>15031.055249999999</v>
      </c>
      <c r="M371" s="17" t="s">
        <v>10</v>
      </c>
      <c r="N371" s="72" t="s">
        <v>457</v>
      </c>
      <c r="O371" s="73"/>
      <c r="P371" s="219" t="s">
        <v>108</v>
      </c>
      <c r="Q371" s="101"/>
      <c r="R371" s="319"/>
      <c r="S371" s="257">
        <f>14.5*J371*1*(1+0.5*1.1)*0.9</f>
        <v>5010.3517499999998</v>
      </c>
      <c r="T371" s="268"/>
    </row>
    <row r="372" spans="1:20" s="269" customFormat="1" ht="20.399999999999999" x14ac:dyDescent="0.2">
      <c r="A372" s="102"/>
      <c r="B372" s="102"/>
      <c r="C372" s="325"/>
      <c r="D372" s="325"/>
      <c r="E372" s="102"/>
      <c r="F372" s="325"/>
      <c r="G372" s="325"/>
      <c r="H372" s="325"/>
      <c r="I372" s="325"/>
      <c r="J372" s="325"/>
      <c r="K372" s="328"/>
      <c r="L372" s="328"/>
      <c r="M372" s="17" t="s">
        <v>11</v>
      </c>
      <c r="N372" s="74"/>
      <c r="O372" s="75"/>
      <c r="P372" s="192"/>
      <c r="Q372" s="102"/>
      <c r="R372" s="319"/>
      <c r="S372" s="257"/>
      <c r="T372" s="268"/>
    </row>
    <row r="373" spans="1:20" s="269" customFormat="1" ht="10.199999999999999" x14ac:dyDescent="0.2">
      <c r="A373" s="102"/>
      <c r="B373" s="102"/>
      <c r="C373" s="325"/>
      <c r="D373" s="325"/>
      <c r="E373" s="102"/>
      <c r="F373" s="325"/>
      <c r="G373" s="325"/>
      <c r="H373" s="325"/>
      <c r="I373" s="325"/>
      <c r="J373" s="325"/>
      <c r="K373" s="328"/>
      <c r="L373" s="328"/>
      <c r="M373" s="17" t="s">
        <v>12</v>
      </c>
      <c r="N373" s="74"/>
      <c r="O373" s="75"/>
      <c r="P373" s="192"/>
      <c r="Q373" s="102"/>
      <c r="R373" s="319"/>
      <c r="S373" s="257"/>
      <c r="T373" s="268"/>
    </row>
    <row r="374" spans="1:20" s="269" customFormat="1" ht="10.199999999999999" x14ac:dyDescent="0.2">
      <c r="A374" s="102"/>
      <c r="B374" s="102"/>
      <c r="C374" s="325"/>
      <c r="D374" s="325"/>
      <c r="E374" s="102"/>
      <c r="F374" s="325"/>
      <c r="G374" s="325"/>
      <c r="H374" s="325"/>
      <c r="I374" s="325"/>
      <c r="J374" s="325"/>
      <c r="K374" s="328"/>
      <c r="L374" s="328"/>
      <c r="M374" s="17" t="s">
        <v>13</v>
      </c>
      <c r="N374" s="74"/>
      <c r="O374" s="75"/>
      <c r="P374" s="192"/>
      <c r="Q374" s="102"/>
      <c r="R374" s="319"/>
      <c r="S374" s="257"/>
      <c r="T374" s="268"/>
    </row>
    <row r="375" spans="1:20" s="269" customFormat="1" ht="10.199999999999999" x14ac:dyDescent="0.2">
      <c r="A375" s="102"/>
      <c r="B375" s="102"/>
      <c r="C375" s="325"/>
      <c r="D375" s="325"/>
      <c r="E375" s="102"/>
      <c r="F375" s="325"/>
      <c r="G375" s="325"/>
      <c r="H375" s="325"/>
      <c r="I375" s="325"/>
      <c r="J375" s="325"/>
      <c r="K375" s="328"/>
      <c r="L375" s="328"/>
      <c r="M375" s="17" t="s">
        <v>14</v>
      </c>
      <c r="N375" s="74"/>
      <c r="O375" s="75"/>
      <c r="P375" s="192"/>
      <c r="Q375" s="102"/>
      <c r="R375" s="319"/>
      <c r="S375" s="257"/>
      <c r="T375" s="268"/>
    </row>
    <row r="376" spans="1:20" s="269" customFormat="1" ht="10.199999999999999" x14ac:dyDescent="0.2">
      <c r="A376" s="187"/>
      <c r="B376" s="187"/>
      <c r="C376" s="329"/>
      <c r="D376" s="329"/>
      <c r="E376" s="187"/>
      <c r="F376" s="329"/>
      <c r="G376" s="329"/>
      <c r="H376" s="329"/>
      <c r="I376" s="329"/>
      <c r="J376" s="329"/>
      <c r="K376" s="330"/>
      <c r="L376" s="330"/>
      <c r="M376" s="17" t="s">
        <v>533</v>
      </c>
      <c r="N376" s="23">
        <v>2843.6</v>
      </c>
      <c r="O376" s="23">
        <v>484.78</v>
      </c>
      <c r="P376" s="331"/>
      <c r="Q376" s="187"/>
      <c r="R376" s="319"/>
      <c r="S376" s="257"/>
      <c r="T376" s="268"/>
    </row>
    <row r="377" spans="1:20" s="264" customFormat="1" ht="10.199999999999999" x14ac:dyDescent="0.2">
      <c r="A377" s="58">
        <f>A371+1</f>
        <v>61</v>
      </c>
      <c r="B377" s="95">
        <v>44258</v>
      </c>
      <c r="C377" s="95">
        <v>47757</v>
      </c>
      <c r="D377" s="58" t="s">
        <v>112</v>
      </c>
      <c r="E377" s="58" t="s">
        <v>300</v>
      </c>
      <c r="F377" s="58" t="s">
        <v>299</v>
      </c>
      <c r="G377" s="58" t="s">
        <v>113</v>
      </c>
      <c r="H377" s="58" t="s">
        <v>355</v>
      </c>
      <c r="I377" s="58" t="s">
        <v>356</v>
      </c>
      <c r="J377" s="58">
        <v>274.3</v>
      </c>
      <c r="K377" s="59">
        <f>S377*6</f>
        <v>12600.2448</v>
      </c>
      <c r="L377" s="59">
        <f>S377*3</f>
        <v>6300.1224000000002</v>
      </c>
      <c r="M377" s="49" t="s">
        <v>10</v>
      </c>
      <c r="N377" s="59" t="s">
        <v>457</v>
      </c>
      <c r="O377" s="60"/>
      <c r="P377" s="67" t="s">
        <v>113</v>
      </c>
      <c r="Q377" s="58"/>
      <c r="R377" s="282"/>
      <c r="S377" s="94">
        <f>14.5*J377*1.2*(1+0.1+1.1)*0.2</f>
        <v>2100.0408000000002</v>
      </c>
      <c r="T377" s="235"/>
    </row>
    <row r="378" spans="1:20" s="264" customFormat="1" ht="20.399999999999999" x14ac:dyDescent="0.2">
      <c r="A378" s="71"/>
      <c r="B378" s="92"/>
      <c r="C378" s="293"/>
      <c r="D378" s="293"/>
      <c r="E378" s="71"/>
      <c r="F378" s="293"/>
      <c r="G378" s="293"/>
      <c r="H378" s="293"/>
      <c r="I378" s="293"/>
      <c r="J378" s="293"/>
      <c r="K378" s="119"/>
      <c r="L378" s="119"/>
      <c r="M378" s="49" t="s">
        <v>11</v>
      </c>
      <c r="N378" s="61"/>
      <c r="O378" s="62"/>
      <c r="P378" s="98"/>
      <c r="Q378" s="71"/>
      <c r="R378" s="282"/>
      <c r="S378" s="94"/>
      <c r="T378" s="235"/>
    </row>
    <row r="379" spans="1:20" s="264" customFormat="1" ht="10.199999999999999" x14ac:dyDescent="0.2">
      <c r="A379" s="71"/>
      <c r="B379" s="92"/>
      <c r="C379" s="293"/>
      <c r="D379" s="293"/>
      <c r="E379" s="92"/>
      <c r="F379" s="293"/>
      <c r="G379" s="293"/>
      <c r="H379" s="293"/>
      <c r="I379" s="293"/>
      <c r="J379" s="293"/>
      <c r="K379" s="119"/>
      <c r="L379" s="119"/>
      <c r="M379" s="49" t="s">
        <v>12</v>
      </c>
      <c r="N379" s="61"/>
      <c r="O379" s="62"/>
      <c r="P379" s="98"/>
      <c r="Q379" s="71"/>
      <c r="R379" s="282"/>
      <c r="S379" s="94"/>
      <c r="T379" s="235"/>
    </row>
    <row r="380" spans="1:20" s="264" customFormat="1" ht="10.199999999999999" x14ac:dyDescent="0.2">
      <c r="A380" s="71"/>
      <c r="B380" s="92"/>
      <c r="C380" s="293"/>
      <c r="D380" s="293"/>
      <c r="E380" s="92"/>
      <c r="F380" s="293"/>
      <c r="G380" s="293"/>
      <c r="H380" s="293"/>
      <c r="I380" s="293"/>
      <c r="J380" s="293"/>
      <c r="K380" s="119"/>
      <c r="L380" s="119"/>
      <c r="M380" s="49" t="s">
        <v>13</v>
      </c>
      <c r="N380" s="61"/>
      <c r="O380" s="62"/>
      <c r="P380" s="98"/>
      <c r="Q380" s="71"/>
      <c r="R380" s="282"/>
      <c r="S380" s="94"/>
      <c r="T380" s="235"/>
    </row>
    <row r="381" spans="1:20" s="264" customFormat="1" ht="10.199999999999999" x14ac:dyDescent="0.2">
      <c r="A381" s="71"/>
      <c r="B381" s="92"/>
      <c r="C381" s="293"/>
      <c r="D381" s="293"/>
      <c r="E381" s="92"/>
      <c r="F381" s="293"/>
      <c r="G381" s="293"/>
      <c r="H381" s="293"/>
      <c r="I381" s="293"/>
      <c r="J381" s="293"/>
      <c r="K381" s="119"/>
      <c r="L381" s="119"/>
      <c r="M381" s="49" t="s">
        <v>14</v>
      </c>
      <c r="N381" s="61"/>
      <c r="O381" s="62"/>
      <c r="P381" s="98"/>
      <c r="Q381" s="71"/>
      <c r="R381" s="282"/>
      <c r="S381" s="94"/>
      <c r="T381" s="235"/>
    </row>
    <row r="382" spans="1:20" s="264" customFormat="1" ht="10.199999999999999" x14ac:dyDescent="0.2">
      <c r="A382" s="87"/>
      <c r="B382" s="78"/>
      <c r="C382" s="289"/>
      <c r="D382" s="289"/>
      <c r="E382" s="78"/>
      <c r="F382" s="289"/>
      <c r="G382" s="289"/>
      <c r="H382" s="289"/>
      <c r="I382" s="289"/>
      <c r="J382" s="289"/>
      <c r="K382" s="121"/>
      <c r="L382" s="121"/>
      <c r="M382" s="49" t="s">
        <v>533</v>
      </c>
      <c r="N382" s="34">
        <v>466.21</v>
      </c>
      <c r="O382" s="34">
        <v>466.31</v>
      </c>
      <c r="P382" s="99"/>
      <c r="Q382" s="87"/>
      <c r="R382" s="282"/>
      <c r="S382" s="94"/>
      <c r="T382" s="235"/>
    </row>
    <row r="383" spans="1:20" s="269" customFormat="1" ht="10.199999999999999" x14ac:dyDescent="0.2">
      <c r="A383" s="101">
        <f>A377+1</f>
        <v>62</v>
      </c>
      <c r="B383" s="105">
        <v>44258</v>
      </c>
      <c r="C383" s="105">
        <v>45310</v>
      </c>
      <c r="D383" s="101" t="s">
        <v>114</v>
      </c>
      <c r="E383" s="101" t="s">
        <v>300</v>
      </c>
      <c r="F383" s="101" t="s">
        <v>299</v>
      </c>
      <c r="G383" s="101" t="s">
        <v>115</v>
      </c>
      <c r="H383" s="101" t="s">
        <v>357</v>
      </c>
      <c r="I383" s="101" t="s">
        <v>116</v>
      </c>
      <c r="J383" s="101">
        <v>18.8</v>
      </c>
      <c r="K383" s="72">
        <f>S383*6</f>
        <v>4317.9840000000004</v>
      </c>
      <c r="L383" s="72">
        <f>S383*3</f>
        <v>2158.9920000000002</v>
      </c>
      <c r="M383" s="17" t="s">
        <v>10</v>
      </c>
      <c r="N383" s="72" t="s">
        <v>457</v>
      </c>
      <c r="O383" s="73"/>
      <c r="P383" s="112" t="s">
        <v>115</v>
      </c>
      <c r="Q383" s="101"/>
      <c r="R383" s="319"/>
      <c r="S383" s="257">
        <f>14.5*J383*1*(1+0.5+0.7)*1.2</f>
        <v>719.6640000000001</v>
      </c>
      <c r="T383" s="268"/>
    </row>
    <row r="384" spans="1:20" s="269" customFormat="1" ht="20.399999999999999" x14ac:dyDescent="0.2">
      <c r="A384" s="102"/>
      <c r="B384" s="106"/>
      <c r="C384" s="323"/>
      <c r="D384" s="323"/>
      <c r="E384" s="102"/>
      <c r="F384" s="323"/>
      <c r="G384" s="323"/>
      <c r="H384" s="323"/>
      <c r="I384" s="323"/>
      <c r="J384" s="323"/>
      <c r="K384" s="332"/>
      <c r="L384" s="332"/>
      <c r="M384" s="17" t="s">
        <v>11</v>
      </c>
      <c r="N384" s="74"/>
      <c r="O384" s="75"/>
      <c r="P384" s="150"/>
      <c r="Q384" s="102"/>
      <c r="R384" s="319"/>
      <c r="S384" s="257"/>
      <c r="T384" s="268"/>
    </row>
    <row r="385" spans="1:20" s="269" customFormat="1" ht="10.199999999999999" x14ac:dyDescent="0.2">
      <c r="A385" s="102"/>
      <c r="B385" s="106"/>
      <c r="C385" s="323"/>
      <c r="D385" s="323"/>
      <c r="E385" s="106"/>
      <c r="F385" s="323"/>
      <c r="G385" s="323"/>
      <c r="H385" s="323"/>
      <c r="I385" s="323"/>
      <c r="J385" s="323"/>
      <c r="K385" s="332"/>
      <c r="L385" s="332"/>
      <c r="M385" s="17" t="s">
        <v>12</v>
      </c>
      <c r="N385" s="74"/>
      <c r="O385" s="75"/>
      <c r="P385" s="150"/>
      <c r="Q385" s="102"/>
      <c r="R385" s="319"/>
      <c r="S385" s="257"/>
      <c r="T385" s="268"/>
    </row>
    <row r="386" spans="1:20" s="269" customFormat="1" ht="10.199999999999999" x14ac:dyDescent="0.2">
      <c r="A386" s="102"/>
      <c r="B386" s="106"/>
      <c r="C386" s="323"/>
      <c r="D386" s="323"/>
      <c r="E386" s="106"/>
      <c r="F386" s="323"/>
      <c r="G386" s="323"/>
      <c r="H386" s="323"/>
      <c r="I386" s="323"/>
      <c r="J386" s="323"/>
      <c r="K386" s="332"/>
      <c r="L386" s="332"/>
      <c r="M386" s="17" t="s">
        <v>13</v>
      </c>
      <c r="N386" s="74"/>
      <c r="O386" s="75"/>
      <c r="P386" s="150"/>
      <c r="Q386" s="102"/>
      <c r="R386" s="319"/>
      <c r="S386" s="257"/>
      <c r="T386" s="268"/>
    </row>
    <row r="387" spans="1:20" s="269" customFormat="1" ht="10.199999999999999" x14ac:dyDescent="0.2">
      <c r="A387" s="102"/>
      <c r="B387" s="106"/>
      <c r="C387" s="323"/>
      <c r="D387" s="323"/>
      <c r="E387" s="106"/>
      <c r="F387" s="323"/>
      <c r="G387" s="323"/>
      <c r="H387" s="323"/>
      <c r="I387" s="323"/>
      <c r="J387" s="323"/>
      <c r="K387" s="332"/>
      <c r="L387" s="332"/>
      <c r="M387" s="17" t="s">
        <v>14</v>
      </c>
      <c r="N387" s="74"/>
      <c r="O387" s="75"/>
      <c r="P387" s="150"/>
      <c r="Q387" s="102"/>
      <c r="R387" s="319"/>
      <c r="S387" s="257"/>
      <c r="T387" s="268"/>
    </row>
    <row r="388" spans="1:20" s="269" customFormat="1" ht="10.199999999999999" x14ac:dyDescent="0.2">
      <c r="A388" s="187"/>
      <c r="B388" s="107"/>
      <c r="C388" s="324"/>
      <c r="D388" s="324"/>
      <c r="E388" s="107"/>
      <c r="F388" s="324"/>
      <c r="G388" s="324"/>
      <c r="H388" s="324"/>
      <c r="I388" s="324"/>
      <c r="J388" s="324"/>
      <c r="K388" s="333"/>
      <c r="L388" s="333"/>
      <c r="M388" s="21" t="s">
        <v>533</v>
      </c>
      <c r="N388" s="43">
        <v>36.1</v>
      </c>
      <c r="O388" s="43">
        <v>36.1</v>
      </c>
      <c r="P388" s="151"/>
      <c r="Q388" s="187"/>
      <c r="R388" s="319"/>
      <c r="S388" s="257"/>
      <c r="T388" s="268"/>
    </row>
    <row r="389" spans="1:20" s="264" customFormat="1" ht="10.199999999999999" x14ac:dyDescent="0.2">
      <c r="A389" s="89">
        <f>A383+1</f>
        <v>63</v>
      </c>
      <c r="B389" s="134">
        <v>44329</v>
      </c>
      <c r="C389" s="134">
        <v>45424</v>
      </c>
      <c r="D389" s="89" t="s">
        <v>129</v>
      </c>
      <c r="E389" s="89" t="s">
        <v>300</v>
      </c>
      <c r="F389" s="89" t="s">
        <v>299</v>
      </c>
      <c r="G389" s="90" t="s">
        <v>130</v>
      </c>
      <c r="H389" s="90" t="s">
        <v>358</v>
      </c>
      <c r="I389" s="89" t="s">
        <v>131</v>
      </c>
      <c r="J389" s="89">
        <v>265.60000000000002</v>
      </c>
      <c r="K389" s="111">
        <f>S389*6</f>
        <v>12200.601600000002</v>
      </c>
      <c r="L389" s="111">
        <f>S389*3</f>
        <v>6100.3008000000009</v>
      </c>
      <c r="M389" s="49" t="s">
        <v>10</v>
      </c>
      <c r="N389" s="59" t="s">
        <v>457</v>
      </c>
      <c r="O389" s="60"/>
      <c r="P389" s="115" t="s">
        <v>130</v>
      </c>
      <c r="Q389" s="89"/>
      <c r="R389" s="282"/>
      <c r="S389" s="94">
        <f>14.5*J389*1.2*(1+0.1+1.1)*0.2</f>
        <v>2033.4336000000003</v>
      </c>
      <c r="T389" s="235"/>
    </row>
    <row r="390" spans="1:20" s="264" customFormat="1" ht="20.399999999999999" x14ac:dyDescent="0.2">
      <c r="A390" s="89"/>
      <c r="B390" s="193"/>
      <c r="C390" s="193"/>
      <c r="D390" s="193"/>
      <c r="E390" s="89"/>
      <c r="F390" s="193"/>
      <c r="G390" s="193"/>
      <c r="H390" s="193"/>
      <c r="I390" s="193"/>
      <c r="J390" s="193"/>
      <c r="K390" s="111"/>
      <c r="L390" s="111"/>
      <c r="M390" s="49" t="s">
        <v>11</v>
      </c>
      <c r="N390" s="61"/>
      <c r="O390" s="62"/>
      <c r="P390" s="111"/>
      <c r="Q390" s="89"/>
      <c r="R390" s="282"/>
      <c r="S390" s="94"/>
      <c r="T390" s="235"/>
    </row>
    <row r="391" spans="1:20" s="264" customFormat="1" ht="10.199999999999999" x14ac:dyDescent="0.2">
      <c r="A391" s="89"/>
      <c r="B391" s="193"/>
      <c r="C391" s="193"/>
      <c r="D391" s="193"/>
      <c r="E391" s="89"/>
      <c r="F391" s="193"/>
      <c r="G391" s="193"/>
      <c r="H391" s="193"/>
      <c r="I391" s="193"/>
      <c r="J391" s="193"/>
      <c r="K391" s="111"/>
      <c r="L391" s="111"/>
      <c r="M391" s="49" t="s">
        <v>12</v>
      </c>
      <c r="N391" s="61"/>
      <c r="O391" s="62"/>
      <c r="P391" s="111"/>
      <c r="Q391" s="89"/>
      <c r="R391" s="282"/>
      <c r="S391" s="94"/>
      <c r="T391" s="235"/>
    </row>
    <row r="392" spans="1:20" s="264" customFormat="1" ht="10.199999999999999" x14ac:dyDescent="0.2">
      <c r="A392" s="89"/>
      <c r="B392" s="193"/>
      <c r="C392" s="193"/>
      <c r="D392" s="193"/>
      <c r="E392" s="89"/>
      <c r="F392" s="193"/>
      <c r="G392" s="193"/>
      <c r="H392" s="193"/>
      <c r="I392" s="193"/>
      <c r="J392" s="193"/>
      <c r="K392" s="111"/>
      <c r="L392" s="111"/>
      <c r="M392" s="49" t="s">
        <v>13</v>
      </c>
      <c r="N392" s="61"/>
      <c r="O392" s="62"/>
      <c r="P392" s="111"/>
      <c r="Q392" s="89"/>
      <c r="R392" s="282"/>
      <c r="S392" s="94"/>
      <c r="T392" s="235"/>
    </row>
    <row r="393" spans="1:20" s="264" customFormat="1" ht="10.199999999999999" x14ac:dyDescent="0.2">
      <c r="A393" s="89"/>
      <c r="B393" s="193"/>
      <c r="C393" s="193"/>
      <c r="D393" s="193"/>
      <c r="E393" s="89"/>
      <c r="F393" s="193"/>
      <c r="G393" s="193"/>
      <c r="H393" s="193"/>
      <c r="I393" s="193"/>
      <c r="J393" s="193"/>
      <c r="K393" s="111"/>
      <c r="L393" s="111"/>
      <c r="M393" s="49" t="s">
        <v>14</v>
      </c>
      <c r="N393" s="61"/>
      <c r="O393" s="62"/>
      <c r="P393" s="111"/>
      <c r="Q393" s="89"/>
      <c r="R393" s="282"/>
      <c r="S393" s="94"/>
      <c r="T393" s="235"/>
    </row>
    <row r="394" spans="1:20" s="264" customFormat="1" ht="10.199999999999999" x14ac:dyDescent="0.2">
      <c r="A394" s="89"/>
      <c r="B394" s="193"/>
      <c r="C394" s="193"/>
      <c r="D394" s="193"/>
      <c r="E394" s="89"/>
      <c r="F394" s="193"/>
      <c r="G394" s="193"/>
      <c r="H394" s="193"/>
      <c r="I394" s="193"/>
      <c r="J394" s="193"/>
      <c r="K394" s="111"/>
      <c r="L394" s="111"/>
      <c r="M394" s="49" t="s">
        <v>533</v>
      </c>
      <c r="N394" s="33">
        <v>1019.9</v>
      </c>
      <c r="O394" s="33">
        <v>509.95</v>
      </c>
      <c r="P394" s="111"/>
      <c r="Q394" s="89"/>
      <c r="R394" s="282"/>
      <c r="S394" s="94"/>
      <c r="T394" s="235"/>
    </row>
    <row r="395" spans="1:20" s="264" customFormat="1" ht="10.199999999999999" x14ac:dyDescent="0.2">
      <c r="A395" s="89">
        <f>A389+1</f>
        <v>64</v>
      </c>
      <c r="B395" s="88">
        <v>44428</v>
      </c>
      <c r="C395" s="88">
        <v>46253</v>
      </c>
      <c r="D395" s="90" t="s">
        <v>148</v>
      </c>
      <c r="E395" s="89" t="s">
        <v>300</v>
      </c>
      <c r="F395" s="89" t="s">
        <v>299</v>
      </c>
      <c r="G395" s="90" t="s">
        <v>130</v>
      </c>
      <c r="H395" s="90" t="s">
        <v>596</v>
      </c>
      <c r="I395" s="90" t="s">
        <v>149</v>
      </c>
      <c r="J395" s="91">
        <v>225.6</v>
      </c>
      <c r="K395" s="111">
        <f>S395*6</f>
        <v>8635.9680000000008</v>
      </c>
      <c r="L395" s="111">
        <f>S395*3</f>
        <v>4317.9840000000004</v>
      </c>
      <c r="M395" s="49" t="s">
        <v>10</v>
      </c>
      <c r="N395" s="59" t="s">
        <v>457</v>
      </c>
      <c r="O395" s="60"/>
      <c r="P395" s="115" t="s">
        <v>130</v>
      </c>
      <c r="Q395" s="89"/>
      <c r="R395" s="282"/>
      <c r="S395" s="94">
        <f>14.5*J395*1*(1+0.1+1.1)*0.2</f>
        <v>1439.3280000000002</v>
      </c>
      <c r="T395" s="235"/>
    </row>
    <row r="396" spans="1:20" s="264" customFormat="1" ht="20.399999999999999" x14ac:dyDescent="0.2">
      <c r="A396" s="89"/>
      <c r="B396" s="193"/>
      <c r="C396" s="193"/>
      <c r="D396" s="193"/>
      <c r="E396" s="89"/>
      <c r="F396" s="193"/>
      <c r="G396" s="193"/>
      <c r="H396" s="193"/>
      <c r="I396" s="193"/>
      <c r="J396" s="193"/>
      <c r="K396" s="111"/>
      <c r="L396" s="111"/>
      <c r="M396" s="49" t="s">
        <v>11</v>
      </c>
      <c r="N396" s="61"/>
      <c r="O396" s="62"/>
      <c r="P396" s="111"/>
      <c r="Q396" s="89"/>
      <c r="R396" s="282"/>
      <c r="S396" s="94"/>
      <c r="T396" s="235"/>
    </row>
    <row r="397" spans="1:20" s="264" customFormat="1" ht="10.199999999999999" x14ac:dyDescent="0.2">
      <c r="A397" s="89"/>
      <c r="B397" s="193"/>
      <c r="C397" s="193"/>
      <c r="D397" s="193"/>
      <c r="E397" s="89"/>
      <c r="F397" s="193"/>
      <c r="G397" s="193"/>
      <c r="H397" s="193"/>
      <c r="I397" s="193"/>
      <c r="J397" s="193"/>
      <c r="K397" s="111"/>
      <c r="L397" s="111"/>
      <c r="M397" s="49" t="s">
        <v>12</v>
      </c>
      <c r="N397" s="61"/>
      <c r="O397" s="62"/>
      <c r="P397" s="111"/>
      <c r="Q397" s="89"/>
      <c r="R397" s="282"/>
      <c r="S397" s="94"/>
      <c r="T397" s="235"/>
    </row>
    <row r="398" spans="1:20" s="264" customFormat="1" ht="10.199999999999999" x14ac:dyDescent="0.2">
      <c r="A398" s="89"/>
      <c r="B398" s="193"/>
      <c r="C398" s="193"/>
      <c r="D398" s="193"/>
      <c r="E398" s="89"/>
      <c r="F398" s="193"/>
      <c r="G398" s="193"/>
      <c r="H398" s="193"/>
      <c r="I398" s="193"/>
      <c r="J398" s="193"/>
      <c r="K398" s="111"/>
      <c r="L398" s="111"/>
      <c r="M398" s="49" t="s">
        <v>13</v>
      </c>
      <c r="N398" s="61"/>
      <c r="O398" s="62"/>
      <c r="P398" s="111"/>
      <c r="Q398" s="89"/>
      <c r="R398" s="282"/>
      <c r="S398" s="94"/>
      <c r="T398" s="235"/>
    </row>
    <row r="399" spans="1:20" s="264" customFormat="1" ht="10.199999999999999" x14ac:dyDescent="0.2">
      <c r="A399" s="89"/>
      <c r="B399" s="193"/>
      <c r="C399" s="193"/>
      <c r="D399" s="193"/>
      <c r="E399" s="89"/>
      <c r="F399" s="193"/>
      <c r="G399" s="193"/>
      <c r="H399" s="193"/>
      <c r="I399" s="193"/>
      <c r="J399" s="193"/>
      <c r="K399" s="111"/>
      <c r="L399" s="111"/>
      <c r="M399" s="49" t="s">
        <v>14</v>
      </c>
      <c r="N399" s="80"/>
      <c r="O399" s="81"/>
      <c r="P399" s="111"/>
      <c r="Q399" s="89"/>
      <c r="R399" s="282"/>
      <c r="S399" s="94"/>
      <c r="T399" s="235"/>
    </row>
    <row r="400" spans="1:20" s="264" customFormat="1" ht="10.199999999999999" x14ac:dyDescent="0.2">
      <c r="A400" s="89"/>
      <c r="B400" s="193"/>
      <c r="C400" s="193"/>
      <c r="D400" s="193"/>
      <c r="E400" s="89"/>
      <c r="F400" s="193"/>
      <c r="G400" s="193"/>
      <c r="H400" s="193"/>
      <c r="I400" s="193"/>
      <c r="J400" s="193"/>
      <c r="K400" s="111"/>
      <c r="L400" s="111"/>
      <c r="M400" s="49" t="s">
        <v>533</v>
      </c>
      <c r="N400" s="34">
        <v>433.15</v>
      </c>
      <c r="O400" s="34">
        <v>433.15</v>
      </c>
      <c r="P400" s="111"/>
      <c r="Q400" s="89"/>
      <c r="R400" s="282"/>
      <c r="S400" s="94"/>
      <c r="T400" s="235"/>
    </row>
    <row r="401" spans="1:20" s="264" customFormat="1" ht="10.199999999999999" x14ac:dyDescent="0.2">
      <c r="A401" s="89">
        <f>A395+1</f>
        <v>65</v>
      </c>
      <c r="B401" s="134">
        <v>44428</v>
      </c>
      <c r="C401" s="134">
        <v>46253</v>
      </c>
      <c r="D401" s="89" t="s">
        <v>150</v>
      </c>
      <c r="E401" s="89" t="s">
        <v>300</v>
      </c>
      <c r="F401" s="89" t="s">
        <v>299</v>
      </c>
      <c r="G401" s="89" t="s">
        <v>151</v>
      </c>
      <c r="H401" s="89" t="s">
        <v>359</v>
      </c>
      <c r="I401" s="89" t="s">
        <v>152</v>
      </c>
      <c r="J401" s="89">
        <v>52.3</v>
      </c>
      <c r="K401" s="111">
        <f>S401*6</f>
        <v>20311.646399999998</v>
      </c>
      <c r="L401" s="111">
        <f>S401*3</f>
        <v>10155.823199999999</v>
      </c>
      <c r="M401" s="49" t="s">
        <v>10</v>
      </c>
      <c r="N401" s="59" t="s">
        <v>653</v>
      </c>
      <c r="O401" s="60"/>
      <c r="P401" s="111" t="s">
        <v>151</v>
      </c>
      <c r="Q401" s="89"/>
      <c r="R401" s="282"/>
      <c r="S401" s="94">
        <f>14.5*J401*1.2*(1+1.2+0.9)*1.2</f>
        <v>3385.2743999999998</v>
      </c>
      <c r="T401" s="235"/>
    </row>
    <row r="402" spans="1:20" s="264" customFormat="1" ht="20.399999999999999" x14ac:dyDescent="0.2">
      <c r="A402" s="89"/>
      <c r="B402" s="89"/>
      <c r="C402" s="193"/>
      <c r="D402" s="193"/>
      <c r="E402" s="89"/>
      <c r="F402" s="193"/>
      <c r="G402" s="193"/>
      <c r="H402" s="193"/>
      <c r="I402" s="193"/>
      <c r="J402" s="193"/>
      <c r="K402" s="111"/>
      <c r="L402" s="111"/>
      <c r="M402" s="49" t="s">
        <v>11</v>
      </c>
      <c r="N402" s="61"/>
      <c r="O402" s="62"/>
      <c r="P402" s="111"/>
      <c r="Q402" s="89"/>
      <c r="R402" s="282"/>
      <c r="S402" s="94"/>
      <c r="T402" s="235"/>
    </row>
    <row r="403" spans="1:20" s="264" customFormat="1" ht="10.199999999999999" x14ac:dyDescent="0.2">
      <c r="A403" s="89"/>
      <c r="B403" s="89"/>
      <c r="C403" s="193"/>
      <c r="D403" s="193"/>
      <c r="E403" s="89"/>
      <c r="F403" s="193"/>
      <c r="G403" s="193"/>
      <c r="H403" s="193"/>
      <c r="I403" s="193"/>
      <c r="J403" s="193"/>
      <c r="K403" s="111"/>
      <c r="L403" s="111"/>
      <c r="M403" s="49" t="s">
        <v>12</v>
      </c>
      <c r="N403" s="61"/>
      <c r="O403" s="62"/>
      <c r="P403" s="111"/>
      <c r="Q403" s="89"/>
      <c r="R403" s="282"/>
      <c r="S403" s="94"/>
      <c r="T403" s="235"/>
    </row>
    <row r="404" spans="1:20" s="264" customFormat="1" ht="10.199999999999999" x14ac:dyDescent="0.2">
      <c r="A404" s="89"/>
      <c r="B404" s="89"/>
      <c r="C404" s="193"/>
      <c r="D404" s="193"/>
      <c r="E404" s="89"/>
      <c r="F404" s="193"/>
      <c r="G404" s="193"/>
      <c r="H404" s="193"/>
      <c r="I404" s="193"/>
      <c r="J404" s="193"/>
      <c r="K404" s="111"/>
      <c r="L404" s="111"/>
      <c r="M404" s="49" t="s">
        <v>13</v>
      </c>
      <c r="N404" s="61"/>
      <c r="O404" s="62"/>
      <c r="P404" s="111"/>
      <c r="Q404" s="89"/>
      <c r="R404" s="282"/>
      <c r="S404" s="94"/>
      <c r="T404" s="235"/>
    </row>
    <row r="405" spans="1:20" s="264" customFormat="1" ht="10.199999999999999" x14ac:dyDescent="0.2">
      <c r="A405" s="89"/>
      <c r="B405" s="89"/>
      <c r="C405" s="193"/>
      <c r="D405" s="193"/>
      <c r="E405" s="89"/>
      <c r="F405" s="193"/>
      <c r="G405" s="193"/>
      <c r="H405" s="193"/>
      <c r="I405" s="193"/>
      <c r="J405" s="193"/>
      <c r="K405" s="111"/>
      <c r="L405" s="111"/>
      <c r="M405" s="49" t="s">
        <v>14</v>
      </c>
      <c r="N405" s="61"/>
      <c r="O405" s="62"/>
      <c r="P405" s="111"/>
      <c r="Q405" s="89"/>
      <c r="R405" s="282"/>
      <c r="S405" s="94"/>
      <c r="T405" s="235"/>
    </row>
    <row r="406" spans="1:20" s="264" customFormat="1" ht="10.199999999999999" x14ac:dyDescent="0.2">
      <c r="A406" s="89"/>
      <c r="B406" s="89"/>
      <c r="C406" s="193"/>
      <c r="D406" s="193"/>
      <c r="E406" s="89"/>
      <c r="F406" s="193"/>
      <c r="G406" s="193"/>
      <c r="H406" s="193"/>
      <c r="I406" s="193"/>
      <c r="J406" s="193"/>
      <c r="K406" s="111"/>
      <c r="L406" s="111"/>
      <c r="M406" s="49" t="s">
        <v>533</v>
      </c>
      <c r="N406" s="63"/>
      <c r="O406" s="64"/>
      <c r="P406" s="111"/>
      <c r="Q406" s="89"/>
      <c r="R406" s="282"/>
      <c r="S406" s="94"/>
      <c r="T406" s="235"/>
    </row>
    <row r="407" spans="1:20" s="264" customFormat="1" ht="10.199999999999999" x14ac:dyDescent="0.2">
      <c r="A407" s="89">
        <f>A401+1</f>
        <v>66</v>
      </c>
      <c r="B407" s="134">
        <v>45062</v>
      </c>
      <c r="C407" s="134">
        <v>46022</v>
      </c>
      <c r="D407" s="89" t="s">
        <v>639</v>
      </c>
      <c r="E407" s="89" t="s">
        <v>300</v>
      </c>
      <c r="F407" s="89" t="s">
        <v>299</v>
      </c>
      <c r="G407" s="89" t="s">
        <v>86</v>
      </c>
      <c r="H407" s="89" t="s">
        <v>537</v>
      </c>
      <c r="I407" s="89" t="s">
        <v>87</v>
      </c>
      <c r="J407" s="89">
        <v>14</v>
      </c>
      <c r="K407" s="111">
        <f>S407*6</f>
        <v>5437.1519999999991</v>
      </c>
      <c r="L407" s="111">
        <f>S407*3</f>
        <v>2718.5759999999996</v>
      </c>
      <c r="M407" s="49" t="s">
        <v>10</v>
      </c>
      <c r="N407" s="34">
        <v>0</v>
      </c>
      <c r="O407" s="34">
        <v>0</v>
      </c>
      <c r="P407" s="89" t="s">
        <v>86</v>
      </c>
      <c r="Q407" s="193"/>
      <c r="R407" s="282"/>
      <c r="S407" s="94">
        <f>14.5*J407*1.2*(1+1.2+0.9)*1.2</f>
        <v>906.19199999999989</v>
      </c>
      <c r="T407" s="235"/>
    </row>
    <row r="408" spans="1:20" s="264" customFormat="1" ht="20.399999999999999" x14ac:dyDescent="0.2">
      <c r="A408" s="89"/>
      <c r="B408" s="193"/>
      <c r="C408" s="193"/>
      <c r="D408" s="89"/>
      <c r="E408" s="89"/>
      <c r="F408" s="89"/>
      <c r="G408" s="193"/>
      <c r="H408" s="193"/>
      <c r="I408" s="193"/>
      <c r="J408" s="193"/>
      <c r="K408" s="334"/>
      <c r="L408" s="111"/>
      <c r="M408" s="49" t="s">
        <v>11</v>
      </c>
      <c r="N408" s="34">
        <v>0</v>
      </c>
      <c r="O408" s="34">
        <v>0</v>
      </c>
      <c r="P408" s="193"/>
      <c r="Q408" s="335"/>
      <c r="R408" s="282"/>
      <c r="S408" s="94"/>
      <c r="T408" s="235"/>
    </row>
    <row r="409" spans="1:20" s="264" customFormat="1" ht="10.199999999999999" x14ac:dyDescent="0.2">
      <c r="A409" s="89"/>
      <c r="B409" s="193"/>
      <c r="C409" s="193"/>
      <c r="D409" s="89"/>
      <c r="E409" s="89"/>
      <c r="F409" s="89"/>
      <c r="G409" s="193"/>
      <c r="H409" s="193"/>
      <c r="I409" s="193"/>
      <c r="J409" s="193"/>
      <c r="K409" s="334"/>
      <c r="L409" s="111"/>
      <c r="M409" s="49" t="s">
        <v>12</v>
      </c>
      <c r="N409" s="34">
        <v>0</v>
      </c>
      <c r="O409" s="34">
        <v>0</v>
      </c>
      <c r="P409" s="193"/>
      <c r="Q409" s="335"/>
      <c r="R409" s="282"/>
      <c r="S409" s="94"/>
      <c r="T409" s="235"/>
    </row>
    <row r="410" spans="1:20" s="264" customFormat="1" ht="10.199999999999999" x14ac:dyDescent="0.2">
      <c r="A410" s="89"/>
      <c r="B410" s="193"/>
      <c r="C410" s="193"/>
      <c r="D410" s="89"/>
      <c r="E410" s="193"/>
      <c r="F410" s="89"/>
      <c r="G410" s="193"/>
      <c r="H410" s="193"/>
      <c r="I410" s="193"/>
      <c r="J410" s="193"/>
      <c r="K410" s="334"/>
      <c r="L410" s="111"/>
      <c r="M410" s="49" t="s">
        <v>13</v>
      </c>
      <c r="N410" s="34">
        <v>0</v>
      </c>
      <c r="O410" s="34">
        <v>0</v>
      </c>
      <c r="P410" s="193"/>
      <c r="Q410" s="335"/>
      <c r="R410" s="282"/>
      <c r="S410" s="94"/>
      <c r="T410" s="235"/>
    </row>
    <row r="411" spans="1:20" s="264" customFormat="1" ht="10.199999999999999" x14ac:dyDescent="0.2">
      <c r="A411" s="89"/>
      <c r="B411" s="193"/>
      <c r="C411" s="193"/>
      <c r="D411" s="89"/>
      <c r="E411" s="193"/>
      <c r="F411" s="89"/>
      <c r="G411" s="193"/>
      <c r="H411" s="193"/>
      <c r="I411" s="193"/>
      <c r="J411" s="193"/>
      <c r="K411" s="334"/>
      <c r="L411" s="111"/>
      <c r="M411" s="49" t="s">
        <v>14</v>
      </c>
      <c r="N411" s="34">
        <v>0</v>
      </c>
      <c r="O411" s="34">
        <v>0</v>
      </c>
      <c r="P411" s="193"/>
      <c r="Q411" s="335"/>
      <c r="R411" s="282"/>
      <c r="S411" s="94"/>
      <c r="T411" s="235"/>
    </row>
    <row r="412" spans="1:20" s="264" customFormat="1" ht="10.199999999999999" x14ac:dyDescent="0.2">
      <c r="A412" s="89"/>
      <c r="B412" s="193"/>
      <c r="C412" s="193"/>
      <c r="D412" s="89"/>
      <c r="E412" s="193"/>
      <c r="F412" s="89"/>
      <c r="G412" s="193"/>
      <c r="H412" s="193"/>
      <c r="I412" s="193"/>
      <c r="J412" s="193"/>
      <c r="K412" s="334"/>
      <c r="L412" s="111"/>
      <c r="M412" s="336" t="s">
        <v>533</v>
      </c>
      <c r="N412" s="34">
        <v>179.35</v>
      </c>
      <c r="O412" s="34">
        <v>27.65</v>
      </c>
      <c r="P412" s="193"/>
      <c r="Q412" s="335"/>
      <c r="R412" s="282"/>
      <c r="S412" s="94"/>
      <c r="T412" s="235"/>
    </row>
    <row r="413" spans="1:20" s="264" customFormat="1" ht="10.199999999999999" x14ac:dyDescent="0.2">
      <c r="A413" s="89">
        <f>A407+1</f>
        <v>67</v>
      </c>
      <c r="B413" s="134">
        <v>44448</v>
      </c>
      <c r="C413" s="134">
        <v>45543</v>
      </c>
      <c r="D413" s="89" t="s">
        <v>154</v>
      </c>
      <c r="E413" s="89" t="s">
        <v>300</v>
      </c>
      <c r="F413" s="89" t="s">
        <v>299</v>
      </c>
      <c r="G413" s="89" t="s">
        <v>155</v>
      </c>
      <c r="H413" s="89" t="s">
        <v>534</v>
      </c>
      <c r="I413" s="89" t="s">
        <v>535</v>
      </c>
      <c r="J413" s="89">
        <v>17.3</v>
      </c>
      <c r="K413" s="111">
        <f>S413*6</f>
        <v>6718.7664000000013</v>
      </c>
      <c r="L413" s="111">
        <f>S413*3</f>
        <v>3359.3832000000007</v>
      </c>
      <c r="M413" s="49" t="s">
        <v>10</v>
      </c>
      <c r="N413" s="59" t="s">
        <v>485</v>
      </c>
      <c r="O413" s="60"/>
      <c r="P413" s="111" t="s">
        <v>155</v>
      </c>
      <c r="Q413" s="89"/>
      <c r="R413" s="282"/>
      <c r="S413" s="94">
        <f>14.5*J413*1.2*(1+1.2+0.9)*1.2</f>
        <v>1119.7944000000002</v>
      </c>
      <c r="T413" s="235"/>
    </row>
    <row r="414" spans="1:20" s="264" customFormat="1" ht="20.399999999999999" x14ac:dyDescent="0.2">
      <c r="A414" s="89"/>
      <c r="B414" s="89"/>
      <c r="C414" s="193"/>
      <c r="D414" s="193"/>
      <c r="E414" s="89"/>
      <c r="F414" s="193"/>
      <c r="G414" s="193"/>
      <c r="H414" s="193"/>
      <c r="I414" s="193"/>
      <c r="J414" s="193"/>
      <c r="K414" s="111"/>
      <c r="L414" s="111"/>
      <c r="M414" s="49" t="s">
        <v>11</v>
      </c>
      <c r="N414" s="61"/>
      <c r="O414" s="62"/>
      <c r="P414" s="111"/>
      <c r="Q414" s="89"/>
      <c r="R414" s="282"/>
      <c r="S414" s="94"/>
      <c r="T414" s="235"/>
    </row>
    <row r="415" spans="1:20" s="264" customFormat="1" ht="10.199999999999999" x14ac:dyDescent="0.2">
      <c r="A415" s="89"/>
      <c r="B415" s="89"/>
      <c r="C415" s="193"/>
      <c r="D415" s="193"/>
      <c r="E415" s="89"/>
      <c r="F415" s="193"/>
      <c r="G415" s="193"/>
      <c r="H415" s="193"/>
      <c r="I415" s="193"/>
      <c r="J415" s="193"/>
      <c r="K415" s="111"/>
      <c r="L415" s="111"/>
      <c r="M415" s="49" t="s">
        <v>12</v>
      </c>
      <c r="N415" s="61"/>
      <c r="O415" s="62"/>
      <c r="P415" s="111"/>
      <c r="Q415" s="89"/>
      <c r="R415" s="282"/>
      <c r="S415" s="94"/>
      <c r="T415" s="235"/>
    </row>
    <row r="416" spans="1:20" s="264" customFormat="1" ht="10.199999999999999" x14ac:dyDescent="0.2">
      <c r="A416" s="89"/>
      <c r="B416" s="89"/>
      <c r="C416" s="193"/>
      <c r="D416" s="193"/>
      <c r="E416" s="89"/>
      <c r="F416" s="193"/>
      <c r="G416" s="193"/>
      <c r="H416" s="193"/>
      <c r="I416" s="193"/>
      <c r="J416" s="193"/>
      <c r="K416" s="111"/>
      <c r="L416" s="111"/>
      <c r="M416" s="49" t="s">
        <v>13</v>
      </c>
      <c r="N416" s="61"/>
      <c r="O416" s="62"/>
      <c r="P416" s="111"/>
      <c r="Q416" s="89"/>
      <c r="R416" s="282"/>
      <c r="S416" s="94"/>
      <c r="T416" s="235"/>
    </row>
    <row r="417" spans="1:20" s="264" customFormat="1" ht="10.199999999999999" x14ac:dyDescent="0.2">
      <c r="A417" s="89"/>
      <c r="B417" s="89"/>
      <c r="C417" s="193"/>
      <c r="D417" s="193"/>
      <c r="E417" s="89"/>
      <c r="F417" s="193"/>
      <c r="G417" s="193"/>
      <c r="H417" s="193"/>
      <c r="I417" s="193"/>
      <c r="J417" s="193"/>
      <c r="K417" s="111"/>
      <c r="L417" s="111"/>
      <c r="M417" s="49" t="s">
        <v>14</v>
      </c>
      <c r="N417" s="80"/>
      <c r="O417" s="81"/>
      <c r="P417" s="111"/>
      <c r="Q417" s="89"/>
      <c r="R417" s="282"/>
      <c r="S417" s="94"/>
      <c r="T417" s="235"/>
    </row>
    <row r="418" spans="1:20" s="264" customFormat="1" ht="10.199999999999999" x14ac:dyDescent="0.2">
      <c r="A418" s="89"/>
      <c r="B418" s="89"/>
      <c r="C418" s="193"/>
      <c r="D418" s="193"/>
      <c r="E418" s="89"/>
      <c r="F418" s="193"/>
      <c r="G418" s="193"/>
      <c r="H418" s="193"/>
      <c r="I418" s="193"/>
      <c r="J418" s="193"/>
      <c r="K418" s="111"/>
      <c r="L418" s="111"/>
      <c r="M418" s="49" t="s">
        <v>533</v>
      </c>
      <c r="N418" s="34">
        <v>231.35</v>
      </c>
      <c r="O418" s="34">
        <v>34.39</v>
      </c>
      <c r="P418" s="111"/>
      <c r="Q418" s="89"/>
      <c r="R418" s="282"/>
      <c r="S418" s="94"/>
      <c r="T418" s="235"/>
    </row>
    <row r="419" spans="1:20" s="269" customFormat="1" ht="10.199999999999999" x14ac:dyDescent="0.2">
      <c r="A419" s="101">
        <f>A413+1</f>
        <v>68</v>
      </c>
      <c r="B419" s="105">
        <v>44503</v>
      </c>
      <c r="C419" s="105">
        <v>45599</v>
      </c>
      <c r="D419" s="101" t="s">
        <v>156</v>
      </c>
      <c r="E419" s="101" t="s">
        <v>300</v>
      </c>
      <c r="F419" s="101" t="s">
        <v>299</v>
      </c>
      <c r="G419" s="101" t="s">
        <v>93</v>
      </c>
      <c r="H419" s="101" t="s">
        <v>360</v>
      </c>
      <c r="I419" s="188" t="s">
        <v>157</v>
      </c>
      <c r="J419" s="101">
        <v>10.199999999999999</v>
      </c>
      <c r="K419" s="101">
        <f>S425*6</f>
        <v>427.20000000000005</v>
      </c>
      <c r="L419" s="112">
        <f>S425*3</f>
        <v>213.60000000000002</v>
      </c>
      <c r="M419" s="16" t="s">
        <v>10</v>
      </c>
      <c r="N419" s="45">
        <v>26.09</v>
      </c>
      <c r="O419" s="216" t="s">
        <v>571</v>
      </c>
      <c r="P419" s="73"/>
      <c r="Q419" s="101" t="s">
        <v>546</v>
      </c>
      <c r="R419" s="319"/>
      <c r="S419" s="337"/>
      <c r="T419" s="268"/>
    </row>
    <row r="420" spans="1:20" s="269" customFormat="1" ht="20.399999999999999" x14ac:dyDescent="0.2">
      <c r="A420" s="106"/>
      <c r="B420" s="323"/>
      <c r="C420" s="323"/>
      <c r="D420" s="323"/>
      <c r="E420" s="106"/>
      <c r="F420" s="323"/>
      <c r="G420" s="323"/>
      <c r="H420" s="106"/>
      <c r="I420" s="323"/>
      <c r="J420" s="106"/>
      <c r="K420" s="106"/>
      <c r="L420" s="106"/>
      <c r="M420" s="17" t="s">
        <v>11</v>
      </c>
      <c r="N420" s="318">
        <v>0.93</v>
      </c>
      <c r="O420" s="321"/>
      <c r="P420" s="75"/>
      <c r="Q420" s="102"/>
      <c r="R420" s="319"/>
      <c r="S420" s="337"/>
      <c r="T420" s="268"/>
    </row>
    <row r="421" spans="1:20" s="269" customFormat="1" ht="10.199999999999999" x14ac:dyDescent="0.2">
      <c r="A421" s="106"/>
      <c r="B421" s="323"/>
      <c r="C421" s="323"/>
      <c r="D421" s="323"/>
      <c r="E421" s="106"/>
      <c r="F421" s="323"/>
      <c r="G421" s="323"/>
      <c r="H421" s="106"/>
      <c r="I421" s="323"/>
      <c r="J421" s="106"/>
      <c r="K421" s="106"/>
      <c r="L421" s="106"/>
      <c r="M421" s="17" t="s">
        <v>12</v>
      </c>
      <c r="N421" s="318">
        <v>0</v>
      </c>
      <c r="O421" s="321"/>
      <c r="P421" s="75"/>
      <c r="Q421" s="102"/>
      <c r="R421" s="319"/>
      <c r="S421" s="337"/>
      <c r="T421" s="268"/>
    </row>
    <row r="422" spans="1:20" s="269" customFormat="1" ht="10.199999999999999" x14ac:dyDescent="0.2">
      <c r="A422" s="106"/>
      <c r="B422" s="323"/>
      <c r="C422" s="323"/>
      <c r="D422" s="323"/>
      <c r="E422" s="106"/>
      <c r="F422" s="323"/>
      <c r="G422" s="323"/>
      <c r="H422" s="106"/>
      <c r="I422" s="323"/>
      <c r="J422" s="106"/>
      <c r="K422" s="106"/>
      <c r="L422" s="106"/>
      <c r="M422" s="17" t="s">
        <v>13</v>
      </c>
      <c r="N422" s="318">
        <v>0</v>
      </c>
      <c r="O422" s="321"/>
      <c r="P422" s="75"/>
      <c r="Q422" s="102"/>
      <c r="R422" s="319"/>
      <c r="S422" s="337"/>
      <c r="T422" s="268"/>
    </row>
    <row r="423" spans="1:20" s="269" customFormat="1" ht="10.199999999999999" x14ac:dyDescent="0.2">
      <c r="A423" s="106"/>
      <c r="B423" s="323"/>
      <c r="C423" s="323"/>
      <c r="D423" s="323"/>
      <c r="E423" s="106"/>
      <c r="F423" s="323"/>
      <c r="G423" s="323"/>
      <c r="H423" s="106"/>
      <c r="I423" s="323"/>
      <c r="J423" s="106"/>
      <c r="K423" s="106"/>
      <c r="L423" s="106"/>
      <c r="M423" s="17" t="s">
        <v>14</v>
      </c>
      <c r="N423" s="23">
        <v>0</v>
      </c>
      <c r="O423" s="321"/>
      <c r="P423" s="75"/>
      <c r="Q423" s="102"/>
      <c r="R423" s="319"/>
      <c r="S423" s="337"/>
      <c r="T423" s="268"/>
    </row>
    <row r="424" spans="1:20" s="269" customFormat="1" ht="10.199999999999999" x14ac:dyDescent="0.2">
      <c r="A424" s="106"/>
      <c r="B424" s="323"/>
      <c r="C424" s="323"/>
      <c r="D424" s="323"/>
      <c r="E424" s="106"/>
      <c r="F424" s="323"/>
      <c r="G424" s="323"/>
      <c r="H424" s="107"/>
      <c r="I424" s="324"/>
      <c r="J424" s="107"/>
      <c r="K424" s="106"/>
      <c r="L424" s="106"/>
      <c r="M424" s="261" t="s">
        <v>533</v>
      </c>
      <c r="N424" s="23">
        <v>0</v>
      </c>
      <c r="O424" s="322"/>
      <c r="P424" s="77"/>
      <c r="Q424" s="187"/>
      <c r="R424" s="319"/>
      <c r="S424" s="337"/>
      <c r="T424" s="268"/>
    </row>
    <row r="425" spans="1:20" s="269" customFormat="1" ht="10.199999999999999" x14ac:dyDescent="0.2">
      <c r="A425" s="106"/>
      <c r="B425" s="323"/>
      <c r="C425" s="323"/>
      <c r="D425" s="323"/>
      <c r="E425" s="106"/>
      <c r="F425" s="323"/>
      <c r="G425" s="323"/>
      <c r="H425" s="101" t="s">
        <v>361</v>
      </c>
      <c r="I425" s="101" t="s">
        <v>158</v>
      </c>
      <c r="J425" s="101">
        <v>32.200000000000003</v>
      </c>
      <c r="K425" s="106"/>
      <c r="L425" s="106"/>
      <c r="M425" s="17" t="s">
        <v>10</v>
      </c>
      <c r="N425" s="45">
        <v>26.09</v>
      </c>
      <c r="O425" s="216" t="s">
        <v>571</v>
      </c>
      <c r="P425" s="73"/>
      <c r="Q425" s="101" t="s">
        <v>546</v>
      </c>
      <c r="R425" s="319"/>
      <c r="S425" s="338">
        <v>71.2</v>
      </c>
      <c r="T425" s="268"/>
    </row>
    <row r="426" spans="1:20" s="269" customFormat="1" ht="20.399999999999999" x14ac:dyDescent="0.2">
      <c r="A426" s="106"/>
      <c r="B426" s="323"/>
      <c r="C426" s="323"/>
      <c r="D426" s="323"/>
      <c r="E426" s="106"/>
      <c r="F426" s="323"/>
      <c r="G426" s="323"/>
      <c r="H426" s="260"/>
      <c r="I426" s="260"/>
      <c r="J426" s="260"/>
      <c r="K426" s="106"/>
      <c r="L426" s="106"/>
      <c r="M426" s="17" t="s">
        <v>11</v>
      </c>
      <c r="N426" s="318">
        <v>0.93</v>
      </c>
      <c r="O426" s="321"/>
      <c r="P426" s="75"/>
      <c r="Q426" s="102"/>
      <c r="R426" s="319"/>
      <c r="S426" s="338"/>
      <c r="T426" s="268"/>
    </row>
    <row r="427" spans="1:20" s="269" customFormat="1" ht="10.199999999999999" x14ac:dyDescent="0.2">
      <c r="A427" s="106"/>
      <c r="B427" s="323"/>
      <c r="C427" s="323"/>
      <c r="D427" s="323"/>
      <c r="E427" s="106"/>
      <c r="F427" s="323"/>
      <c r="G427" s="323"/>
      <c r="H427" s="260"/>
      <c r="I427" s="260"/>
      <c r="J427" s="260"/>
      <c r="K427" s="106"/>
      <c r="L427" s="106"/>
      <c r="M427" s="17" t="s">
        <v>12</v>
      </c>
      <c r="N427" s="318">
        <v>0</v>
      </c>
      <c r="O427" s="321"/>
      <c r="P427" s="75"/>
      <c r="Q427" s="102"/>
      <c r="R427" s="319"/>
      <c r="S427" s="338"/>
      <c r="T427" s="268"/>
    </row>
    <row r="428" spans="1:20" s="269" customFormat="1" ht="10.199999999999999" x14ac:dyDescent="0.2">
      <c r="A428" s="106"/>
      <c r="B428" s="323"/>
      <c r="C428" s="323"/>
      <c r="D428" s="323"/>
      <c r="E428" s="106"/>
      <c r="F428" s="323"/>
      <c r="G428" s="323"/>
      <c r="H428" s="260"/>
      <c r="I428" s="260"/>
      <c r="J428" s="260"/>
      <c r="K428" s="106"/>
      <c r="L428" s="106"/>
      <c r="M428" s="17" t="s">
        <v>13</v>
      </c>
      <c r="N428" s="318">
        <v>0</v>
      </c>
      <c r="O428" s="321"/>
      <c r="P428" s="75"/>
      <c r="Q428" s="102"/>
      <c r="R428" s="319"/>
      <c r="S428" s="338"/>
      <c r="T428" s="268"/>
    </row>
    <row r="429" spans="1:20" s="269" customFormat="1" ht="10.199999999999999" x14ac:dyDescent="0.2">
      <c r="A429" s="106"/>
      <c r="B429" s="323"/>
      <c r="C429" s="323"/>
      <c r="D429" s="323"/>
      <c r="E429" s="106"/>
      <c r="F429" s="323"/>
      <c r="G429" s="323"/>
      <c r="H429" s="260"/>
      <c r="I429" s="260"/>
      <c r="J429" s="260"/>
      <c r="K429" s="106"/>
      <c r="L429" s="106"/>
      <c r="M429" s="17" t="s">
        <v>14</v>
      </c>
      <c r="N429" s="23">
        <v>0</v>
      </c>
      <c r="O429" s="321"/>
      <c r="P429" s="75"/>
      <c r="Q429" s="102"/>
      <c r="R429" s="319"/>
      <c r="S429" s="338"/>
      <c r="T429" s="268"/>
    </row>
    <row r="430" spans="1:20" s="269" customFormat="1" ht="10.199999999999999" x14ac:dyDescent="0.2">
      <c r="A430" s="107"/>
      <c r="B430" s="324"/>
      <c r="C430" s="324"/>
      <c r="D430" s="324"/>
      <c r="E430" s="107"/>
      <c r="F430" s="324"/>
      <c r="G430" s="324"/>
      <c r="H430" s="263"/>
      <c r="I430" s="263"/>
      <c r="J430" s="263"/>
      <c r="K430" s="107"/>
      <c r="L430" s="107"/>
      <c r="M430" s="17" t="s">
        <v>533</v>
      </c>
      <c r="N430" s="23">
        <v>0</v>
      </c>
      <c r="O430" s="322"/>
      <c r="P430" s="77"/>
      <c r="Q430" s="187"/>
      <c r="R430" s="319"/>
      <c r="S430" s="338"/>
      <c r="T430" s="268"/>
    </row>
    <row r="431" spans="1:20" s="264" customFormat="1" ht="10.199999999999999" x14ac:dyDescent="0.2">
      <c r="A431" s="58">
        <f>A419+1</f>
        <v>69</v>
      </c>
      <c r="B431" s="95">
        <v>44463</v>
      </c>
      <c r="C431" s="95">
        <v>45192</v>
      </c>
      <c r="D431" s="58" t="s">
        <v>159</v>
      </c>
      <c r="E431" s="58" t="s">
        <v>300</v>
      </c>
      <c r="F431" s="58" t="s">
        <v>299</v>
      </c>
      <c r="G431" s="133" t="s">
        <v>160</v>
      </c>
      <c r="H431" s="58" t="s">
        <v>362</v>
      </c>
      <c r="I431" s="58" t="s">
        <v>161</v>
      </c>
      <c r="J431" s="58">
        <v>28.8</v>
      </c>
      <c r="K431" s="339">
        <f>S431*6</f>
        <v>7937.7408000000014</v>
      </c>
      <c r="L431" s="59">
        <f>S431*3</f>
        <v>3968.8704000000007</v>
      </c>
      <c r="M431" s="49" t="s">
        <v>10</v>
      </c>
      <c r="N431" s="34">
        <v>81.72</v>
      </c>
      <c r="O431" s="34">
        <v>81.72</v>
      </c>
      <c r="P431" s="67" t="s">
        <v>160</v>
      </c>
      <c r="Q431" s="58"/>
      <c r="R431" s="282"/>
      <c r="S431" s="94">
        <f>14.5*J431*1.1*(1+0.5+0.9)*1.2</f>
        <v>1322.9568000000002</v>
      </c>
      <c r="T431" s="235"/>
    </row>
    <row r="432" spans="1:20" s="264" customFormat="1" ht="20.399999999999999" x14ac:dyDescent="0.2">
      <c r="A432" s="71"/>
      <c r="B432" s="136"/>
      <c r="C432" s="71"/>
      <c r="D432" s="136"/>
      <c r="E432" s="71"/>
      <c r="F432" s="136"/>
      <c r="G432" s="136"/>
      <c r="H432" s="136"/>
      <c r="I432" s="136"/>
      <c r="J432" s="136"/>
      <c r="K432" s="340"/>
      <c r="L432" s="341"/>
      <c r="M432" s="49" t="s">
        <v>11</v>
      </c>
      <c r="N432" s="34">
        <v>12.53</v>
      </c>
      <c r="O432" s="34">
        <v>12.53</v>
      </c>
      <c r="P432" s="283"/>
      <c r="Q432" s="71"/>
      <c r="R432" s="282"/>
      <c r="S432" s="94"/>
      <c r="T432" s="235"/>
    </row>
    <row r="433" spans="1:20" s="264" customFormat="1" ht="10.199999999999999" x14ac:dyDescent="0.2">
      <c r="A433" s="71"/>
      <c r="B433" s="136"/>
      <c r="C433" s="71"/>
      <c r="D433" s="136"/>
      <c r="E433" s="71"/>
      <c r="F433" s="136"/>
      <c r="G433" s="136"/>
      <c r="H433" s="136"/>
      <c r="I433" s="136"/>
      <c r="J433" s="136"/>
      <c r="K433" s="340"/>
      <c r="L433" s="341"/>
      <c r="M433" s="49" t="s">
        <v>12</v>
      </c>
      <c r="N433" s="34">
        <v>0</v>
      </c>
      <c r="O433" s="34">
        <v>0</v>
      </c>
      <c r="P433" s="283"/>
      <c r="Q433" s="71"/>
      <c r="R433" s="282"/>
      <c r="S433" s="94"/>
      <c r="T433" s="235"/>
    </row>
    <row r="434" spans="1:20" s="264" customFormat="1" ht="10.199999999999999" x14ac:dyDescent="0.2">
      <c r="A434" s="71"/>
      <c r="B434" s="136"/>
      <c r="C434" s="71"/>
      <c r="D434" s="136"/>
      <c r="E434" s="71"/>
      <c r="F434" s="136"/>
      <c r="G434" s="136"/>
      <c r="H434" s="136"/>
      <c r="I434" s="136"/>
      <c r="J434" s="136"/>
      <c r="K434" s="340"/>
      <c r="L434" s="341"/>
      <c r="M434" s="49" t="s">
        <v>13</v>
      </c>
      <c r="N434" s="34">
        <v>0</v>
      </c>
      <c r="O434" s="34">
        <v>0</v>
      </c>
      <c r="P434" s="283"/>
      <c r="Q434" s="71"/>
      <c r="R434" s="282"/>
      <c r="S434" s="94"/>
      <c r="T434" s="235"/>
    </row>
    <row r="435" spans="1:20" s="264" customFormat="1" ht="10.199999999999999" x14ac:dyDescent="0.2">
      <c r="A435" s="71"/>
      <c r="B435" s="136"/>
      <c r="C435" s="71"/>
      <c r="D435" s="136"/>
      <c r="E435" s="71"/>
      <c r="F435" s="136"/>
      <c r="G435" s="136"/>
      <c r="H435" s="136"/>
      <c r="I435" s="136"/>
      <c r="J435" s="136"/>
      <c r="K435" s="340"/>
      <c r="L435" s="341"/>
      <c r="M435" s="49" t="s">
        <v>14</v>
      </c>
      <c r="N435" s="34">
        <v>0</v>
      </c>
      <c r="O435" s="34">
        <v>0</v>
      </c>
      <c r="P435" s="283"/>
      <c r="Q435" s="71"/>
      <c r="R435" s="282"/>
      <c r="S435" s="94"/>
      <c r="T435" s="235"/>
    </row>
    <row r="436" spans="1:20" s="264" customFormat="1" ht="10.199999999999999" x14ac:dyDescent="0.2">
      <c r="A436" s="87"/>
      <c r="B436" s="137"/>
      <c r="C436" s="87"/>
      <c r="D436" s="137"/>
      <c r="E436" s="87"/>
      <c r="F436" s="137"/>
      <c r="G436" s="137"/>
      <c r="H436" s="137"/>
      <c r="I436" s="137"/>
      <c r="J436" s="137"/>
      <c r="K436" s="342"/>
      <c r="L436" s="144"/>
      <c r="M436" s="49" t="s">
        <v>533</v>
      </c>
      <c r="N436" s="34">
        <v>221.55</v>
      </c>
      <c r="O436" s="34">
        <v>55.29</v>
      </c>
      <c r="P436" s="284"/>
      <c r="Q436" s="87"/>
      <c r="R436" s="282"/>
      <c r="S436" s="94"/>
      <c r="T436" s="235"/>
    </row>
    <row r="437" spans="1:20" s="269" customFormat="1" ht="10.199999999999999" x14ac:dyDescent="0.2">
      <c r="A437" s="101">
        <f>A431+1</f>
        <v>70</v>
      </c>
      <c r="B437" s="105">
        <v>44497</v>
      </c>
      <c r="C437" s="105">
        <v>45592</v>
      </c>
      <c r="D437" s="101" t="s">
        <v>162</v>
      </c>
      <c r="E437" s="101" t="s">
        <v>300</v>
      </c>
      <c r="F437" s="101" t="s">
        <v>299</v>
      </c>
      <c r="G437" s="101" t="s">
        <v>163</v>
      </c>
      <c r="H437" s="101" t="s">
        <v>363</v>
      </c>
      <c r="I437" s="101" t="s">
        <v>164</v>
      </c>
      <c r="J437" s="101">
        <v>12.7</v>
      </c>
      <c r="K437" s="343">
        <f>S437*6</f>
        <v>346.96425643614333</v>
      </c>
      <c r="L437" s="72">
        <f>S437*3</f>
        <v>173.48212821807167</v>
      </c>
      <c r="M437" s="17" t="s">
        <v>10</v>
      </c>
      <c r="N437" s="48">
        <v>12.65</v>
      </c>
      <c r="O437" s="48">
        <v>12.65</v>
      </c>
      <c r="P437" s="112" t="s">
        <v>163</v>
      </c>
      <c r="Q437" s="101"/>
      <c r="R437" s="319"/>
      <c r="S437" s="257">
        <f>14.5*J437*1*(1+1.2+0.5)*1.2*12/1981*16</f>
        <v>57.827376072690555</v>
      </c>
      <c r="T437" s="268"/>
    </row>
    <row r="438" spans="1:20" s="269" customFormat="1" ht="20.399999999999999" x14ac:dyDescent="0.2">
      <c r="A438" s="102"/>
      <c r="B438" s="323"/>
      <c r="C438" s="323"/>
      <c r="D438" s="323"/>
      <c r="E438" s="103"/>
      <c r="F438" s="323"/>
      <c r="G438" s="323"/>
      <c r="H438" s="323"/>
      <c r="I438" s="323"/>
      <c r="J438" s="323"/>
      <c r="K438" s="344"/>
      <c r="L438" s="332"/>
      <c r="M438" s="17" t="s">
        <v>11</v>
      </c>
      <c r="N438" s="48">
        <v>2.71</v>
      </c>
      <c r="O438" s="48">
        <v>2.71</v>
      </c>
      <c r="P438" s="150"/>
      <c r="Q438" s="102"/>
      <c r="R438" s="319"/>
      <c r="S438" s="257"/>
      <c r="T438" s="268"/>
    </row>
    <row r="439" spans="1:20" s="269" customFormat="1" ht="10.199999999999999" x14ac:dyDescent="0.2">
      <c r="A439" s="102"/>
      <c r="B439" s="323"/>
      <c r="C439" s="323"/>
      <c r="D439" s="323"/>
      <c r="E439" s="106"/>
      <c r="F439" s="323"/>
      <c r="G439" s="323"/>
      <c r="H439" s="323"/>
      <c r="I439" s="323"/>
      <c r="J439" s="323"/>
      <c r="K439" s="344"/>
      <c r="L439" s="332"/>
      <c r="M439" s="17" t="s">
        <v>12</v>
      </c>
      <c r="N439" s="48">
        <v>0</v>
      </c>
      <c r="O439" s="48">
        <v>0</v>
      </c>
      <c r="P439" s="150"/>
      <c r="Q439" s="102"/>
      <c r="R439" s="319"/>
      <c r="S439" s="257"/>
      <c r="T439" s="268"/>
    </row>
    <row r="440" spans="1:20" s="269" customFormat="1" ht="10.199999999999999" x14ac:dyDescent="0.2">
      <c r="A440" s="102"/>
      <c r="B440" s="323"/>
      <c r="C440" s="323"/>
      <c r="D440" s="323"/>
      <c r="E440" s="106"/>
      <c r="F440" s="323"/>
      <c r="G440" s="323"/>
      <c r="H440" s="323"/>
      <c r="I440" s="323"/>
      <c r="J440" s="323"/>
      <c r="K440" s="344"/>
      <c r="L440" s="332"/>
      <c r="M440" s="17" t="s">
        <v>13</v>
      </c>
      <c r="N440" s="48">
        <v>3.73</v>
      </c>
      <c r="O440" s="48">
        <v>3.73</v>
      </c>
      <c r="P440" s="150"/>
      <c r="Q440" s="102"/>
      <c r="R440" s="319"/>
      <c r="S440" s="257"/>
      <c r="T440" s="268"/>
    </row>
    <row r="441" spans="1:20" s="269" customFormat="1" ht="10.199999999999999" x14ac:dyDescent="0.2">
      <c r="A441" s="102"/>
      <c r="B441" s="323"/>
      <c r="C441" s="323"/>
      <c r="D441" s="323"/>
      <c r="E441" s="106"/>
      <c r="F441" s="323"/>
      <c r="G441" s="323"/>
      <c r="H441" s="323"/>
      <c r="I441" s="323"/>
      <c r="J441" s="323"/>
      <c r="K441" s="344"/>
      <c r="L441" s="332"/>
      <c r="M441" s="17" t="s">
        <v>14</v>
      </c>
      <c r="N441" s="48">
        <v>0</v>
      </c>
      <c r="O441" s="48">
        <v>0</v>
      </c>
      <c r="P441" s="150"/>
      <c r="Q441" s="102"/>
      <c r="R441" s="319"/>
      <c r="S441" s="257"/>
      <c r="T441" s="268"/>
    </row>
    <row r="442" spans="1:20" s="269" customFormat="1" ht="10.199999999999999" x14ac:dyDescent="0.2">
      <c r="A442" s="187"/>
      <c r="B442" s="324"/>
      <c r="C442" s="324"/>
      <c r="D442" s="324"/>
      <c r="E442" s="107"/>
      <c r="F442" s="324"/>
      <c r="G442" s="324"/>
      <c r="H442" s="324"/>
      <c r="I442" s="324"/>
      <c r="J442" s="324"/>
      <c r="K442" s="345"/>
      <c r="L442" s="333"/>
      <c r="M442" s="17" t="s">
        <v>533</v>
      </c>
      <c r="N442" s="23">
        <v>0</v>
      </c>
      <c r="O442" s="23">
        <v>0</v>
      </c>
      <c r="P442" s="151"/>
      <c r="Q442" s="187"/>
      <c r="R442" s="319"/>
      <c r="S442" s="257"/>
      <c r="T442" s="268"/>
    </row>
    <row r="443" spans="1:20" s="264" customFormat="1" ht="25.2" customHeight="1" x14ac:dyDescent="0.2">
      <c r="A443" s="58">
        <f>A437+1</f>
        <v>71</v>
      </c>
      <c r="B443" s="70">
        <v>44523</v>
      </c>
      <c r="C443" s="70">
        <v>46348</v>
      </c>
      <c r="D443" s="58" t="s">
        <v>232</v>
      </c>
      <c r="E443" s="58" t="s">
        <v>367</v>
      </c>
      <c r="F443" s="58" t="s">
        <v>299</v>
      </c>
      <c r="G443" s="110" t="s">
        <v>233</v>
      </c>
      <c r="H443" s="133" t="s">
        <v>364</v>
      </c>
      <c r="I443" s="58" t="s">
        <v>234</v>
      </c>
      <c r="J443" s="133">
        <v>37.1</v>
      </c>
      <c r="K443" s="339">
        <f>S443*6</f>
        <v>2246.4792000000007</v>
      </c>
      <c r="L443" s="59">
        <f>S443*3</f>
        <v>1123.2396000000003</v>
      </c>
      <c r="M443" s="11" t="s">
        <v>10</v>
      </c>
      <c r="N443" s="144" t="s">
        <v>477</v>
      </c>
      <c r="O443" s="81"/>
      <c r="P443" s="117" t="s">
        <v>233</v>
      </c>
      <c r="Q443" s="58"/>
      <c r="R443" s="282"/>
      <c r="S443" s="94">
        <f>14.5*J443*1.2*(1+1+0.9)*0.2</f>
        <v>374.41320000000007</v>
      </c>
      <c r="T443" s="235"/>
    </row>
    <row r="444" spans="1:20" s="264" customFormat="1" ht="20.399999999999999" x14ac:dyDescent="0.2">
      <c r="A444" s="71"/>
      <c r="B444" s="293"/>
      <c r="C444" s="293"/>
      <c r="D444" s="293"/>
      <c r="E444" s="143"/>
      <c r="F444" s="293"/>
      <c r="G444" s="293"/>
      <c r="H444" s="293"/>
      <c r="I444" s="293"/>
      <c r="J444" s="293"/>
      <c r="K444" s="120"/>
      <c r="L444" s="119"/>
      <c r="M444" s="49" t="s">
        <v>11</v>
      </c>
      <c r="N444" s="34">
        <v>0</v>
      </c>
      <c r="O444" s="34">
        <v>0</v>
      </c>
      <c r="P444" s="98"/>
      <c r="Q444" s="71"/>
      <c r="R444" s="282"/>
      <c r="S444" s="94"/>
      <c r="T444" s="235"/>
    </row>
    <row r="445" spans="1:20" s="264" customFormat="1" ht="10.199999999999999" x14ac:dyDescent="0.2">
      <c r="A445" s="71"/>
      <c r="B445" s="293"/>
      <c r="C445" s="293"/>
      <c r="D445" s="293"/>
      <c r="E445" s="92"/>
      <c r="F445" s="293"/>
      <c r="G445" s="293"/>
      <c r="H445" s="293"/>
      <c r="I445" s="293"/>
      <c r="J445" s="293"/>
      <c r="K445" s="120"/>
      <c r="L445" s="119"/>
      <c r="M445" s="49" t="s">
        <v>12</v>
      </c>
      <c r="N445" s="34">
        <v>0</v>
      </c>
      <c r="O445" s="34">
        <v>0</v>
      </c>
      <c r="P445" s="98"/>
      <c r="Q445" s="71"/>
      <c r="R445" s="282"/>
      <c r="S445" s="94"/>
      <c r="T445" s="235"/>
    </row>
    <row r="446" spans="1:20" s="264" customFormat="1" ht="10.199999999999999" x14ac:dyDescent="0.2">
      <c r="A446" s="71"/>
      <c r="B446" s="293"/>
      <c r="C446" s="293"/>
      <c r="D446" s="293"/>
      <c r="E446" s="92"/>
      <c r="F446" s="293"/>
      <c r="G446" s="293"/>
      <c r="H446" s="293"/>
      <c r="I446" s="293"/>
      <c r="J446" s="293"/>
      <c r="K446" s="120"/>
      <c r="L446" s="119"/>
      <c r="M446" s="49" t="s">
        <v>13</v>
      </c>
      <c r="N446" s="34">
        <v>0</v>
      </c>
      <c r="O446" s="34">
        <v>0</v>
      </c>
      <c r="P446" s="98"/>
      <c r="Q446" s="71"/>
      <c r="R446" s="282"/>
      <c r="S446" s="94"/>
      <c r="T446" s="235"/>
    </row>
    <row r="447" spans="1:20" s="264" customFormat="1" ht="10.199999999999999" x14ac:dyDescent="0.2">
      <c r="A447" s="71"/>
      <c r="B447" s="293"/>
      <c r="C447" s="293"/>
      <c r="D447" s="293"/>
      <c r="E447" s="92"/>
      <c r="F447" s="293"/>
      <c r="G447" s="293"/>
      <c r="H447" s="293"/>
      <c r="I447" s="293"/>
      <c r="J447" s="293"/>
      <c r="K447" s="120"/>
      <c r="L447" s="119"/>
      <c r="M447" s="49" t="s">
        <v>14</v>
      </c>
      <c r="N447" s="34">
        <v>0</v>
      </c>
      <c r="O447" s="34">
        <v>0</v>
      </c>
      <c r="P447" s="98"/>
      <c r="Q447" s="71"/>
      <c r="R447" s="282"/>
      <c r="S447" s="94"/>
      <c r="T447" s="235"/>
    </row>
    <row r="448" spans="1:20" s="264" customFormat="1" x14ac:dyDescent="0.2">
      <c r="A448" s="87"/>
      <c r="B448" s="289"/>
      <c r="C448" s="289"/>
      <c r="D448" s="289"/>
      <c r="E448" s="78"/>
      <c r="F448" s="289"/>
      <c r="G448" s="289"/>
      <c r="H448" s="289"/>
      <c r="I448" s="289"/>
      <c r="J448" s="289"/>
      <c r="K448" s="122"/>
      <c r="L448" s="121"/>
      <c r="M448" s="49" t="s">
        <v>533</v>
      </c>
      <c r="N448" s="346" t="s">
        <v>485</v>
      </c>
      <c r="O448" s="218"/>
      <c r="P448" s="99"/>
      <c r="Q448" s="87"/>
      <c r="R448" s="282"/>
      <c r="S448" s="94"/>
      <c r="T448" s="235"/>
    </row>
    <row r="449" spans="1:20" s="264" customFormat="1" ht="10.199999999999999" x14ac:dyDescent="0.2">
      <c r="A449" s="58">
        <f>A443+1</f>
        <v>72</v>
      </c>
      <c r="B449" s="70">
        <v>44894</v>
      </c>
      <c r="C449" s="70">
        <v>45932</v>
      </c>
      <c r="D449" s="58" t="s">
        <v>598</v>
      </c>
      <c r="E449" s="58" t="s">
        <v>367</v>
      </c>
      <c r="F449" s="58" t="s">
        <v>299</v>
      </c>
      <c r="G449" s="110" t="s">
        <v>235</v>
      </c>
      <c r="H449" s="133" t="s">
        <v>506</v>
      </c>
      <c r="I449" s="58" t="s">
        <v>599</v>
      </c>
      <c r="J449" s="133">
        <v>16.3</v>
      </c>
      <c r="K449" s="339">
        <f>S449*6</f>
        <v>6330.3984000000009</v>
      </c>
      <c r="L449" s="59">
        <f>S449*3</f>
        <v>3165.1992000000005</v>
      </c>
      <c r="M449" s="49" t="s">
        <v>10</v>
      </c>
      <c r="N449" s="34">
        <v>0</v>
      </c>
      <c r="O449" s="34">
        <v>0</v>
      </c>
      <c r="P449" s="117" t="s">
        <v>235</v>
      </c>
      <c r="Q449" s="58"/>
      <c r="R449" s="282"/>
      <c r="S449" s="94">
        <f>14.5*J449*1.2*(1+1.2+0.9)*1.2</f>
        <v>1055.0664000000002</v>
      </c>
      <c r="T449" s="235"/>
    </row>
    <row r="450" spans="1:20" s="264" customFormat="1" ht="20.399999999999999" x14ac:dyDescent="0.2">
      <c r="A450" s="71"/>
      <c r="B450" s="293"/>
      <c r="C450" s="92"/>
      <c r="D450" s="293"/>
      <c r="E450" s="143"/>
      <c r="F450" s="293"/>
      <c r="G450" s="293"/>
      <c r="H450" s="293"/>
      <c r="I450" s="293"/>
      <c r="J450" s="293"/>
      <c r="K450" s="120"/>
      <c r="L450" s="119"/>
      <c r="M450" s="49" t="s">
        <v>11</v>
      </c>
      <c r="N450" s="34">
        <v>0</v>
      </c>
      <c r="O450" s="34">
        <v>0</v>
      </c>
      <c r="P450" s="98"/>
      <c r="Q450" s="71"/>
      <c r="R450" s="282"/>
      <c r="S450" s="94"/>
      <c r="T450" s="235"/>
    </row>
    <row r="451" spans="1:20" s="264" customFormat="1" ht="10.199999999999999" x14ac:dyDescent="0.2">
      <c r="A451" s="71"/>
      <c r="B451" s="293"/>
      <c r="C451" s="92"/>
      <c r="D451" s="293"/>
      <c r="E451" s="92"/>
      <c r="F451" s="293"/>
      <c r="G451" s="293"/>
      <c r="H451" s="293"/>
      <c r="I451" s="293"/>
      <c r="J451" s="293"/>
      <c r="K451" s="120"/>
      <c r="L451" s="119"/>
      <c r="M451" s="49" t="s">
        <v>12</v>
      </c>
      <c r="N451" s="34">
        <v>0</v>
      </c>
      <c r="O451" s="34">
        <v>0</v>
      </c>
      <c r="P451" s="98"/>
      <c r="Q451" s="71"/>
      <c r="R451" s="282"/>
      <c r="S451" s="94"/>
      <c r="T451" s="235"/>
    </row>
    <row r="452" spans="1:20" s="264" customFormat="1" ht="10.199999999999999" x14ac:dyDescent="0.2">
      <c r="A452" s="71"/>
      <c r="B452" s="293"/>
      <c r="C452" s="92"/>
      <c r="D452" s="293"/>
      <c r="E452" s="92"/>
      <c r="F452" s="293"/>
      <c r="G452" s="293"/>
      <c r="H452" s="293"/>
      <c r="I452" s="293"/>
      <c r="J452" s="293"/>
      <c r="K452" s="120"/>
      <c r="L452" s="119"/>
      <c r="M452" s="49" t="s">
        <v>13</v>
      </c>
      <c r="N452" s="34">
        <v>0</v>
      </c>
      <c r="O452" s="34">
        <v>0</v>
      </c>
      <c r="P452" s="98"/>
      <c r="Q452" s="71"/>
      <c r="R452" s="282"/>
      <c r="S452" s="94"/>
      <c r="T452" s="235"/>
    </row>
    <row r="453" spans="1:20" s="264" customFormat="1" ht="10.199999999999999" x14ac:dyDescent="0.2">
      <c r="A453" s="71"/>
      <c r="B453" s="293"/>
      <c r="C453" s="92"/>
      <c r="D453" s="293"/>
      <c r="E453" s="92"/>
      <c r="F453" s="293"/>
      <c r="G453" s="293"/>
      <c r="H453" s="293"/>
      <c r="I453" s="293"/>
      <c r="J453" s="293"/>
      <c r="K453" s="120"/>
      <c r="L453" s="119"/>
      <c r="M453" s="49" t="s">
        <v>14</v>
      </c>
      <c r="N453" s="34">
        <v>0</v>
      </c>
      <c r="O453" s="34">
        <v>0</v>
      </c>
      <c r="P453" s="98"/>
      <c r="Q453" s="71"/>
      <c r="R453" s="282"/>
      <c r="S453" s="94"/>
      <c r="T453" s="235"/>
    </row>
    <row r="454" spans="1:20" s="264" customFormat="1" x14ac:dyDescent="0.2">
      <c r="A454" s="87"/>
      <c r="B454" s="289"/>
      <c r="C454" s="78"/>
      <c r="D454" s="289"/>
      <c r="E454" s="78"/>
      <c r="F454" s="289"/>
      <c r="G454" s="289"/>
      <c r="H454" s="289"/>
      <c r="I454" s="289"/>
      <c r="J454" s="289"/>
      <c r="K454" s="122"/>
      <c r="L454" s="121"/>
      <c r="M454" s="49" t="s">
        <v>533</v>
      </c>
      <c r="N454" s="217" t="s">
        <v>485</v>
      </c>
      <c r="O454" s="218"/>
      <c r="P454" s="99"/>
      <c r="Q454" s="87"/>
      <c r="R454" s="282"/>
      <c r="S454" s="94"/>
      <c r="T454" s="235"/>
    </row>
    <row r="455" spans="1:20" s="264" customFormat="1" ht="10.199999999999999" x14ac:dyDescent="0.2">
      <c r="A455" s="58">
        <f>A449+1</f>
        <v>73</v>
      </c>
      <c r="B455" s="95">
        <v>43263</v>
      </c>
      <c r="C455" s="95">
        <v>46915</v>
      </c>
      <c r="D455" s="58" t="s">
        <v>242</v>
      </c>
      <c r="E455" s="58" t="s">
        <v>366</v>
      </c>
      <c r="F455" s="58" t="s">
        <v>299</v>
      </c>
      <c r="G455" s="58" t="s">
        <v>243</v>
      </c>
      <c r="H455" s="58" t="s">
        <v>365</v>
      </c>
      <c r="I455" s="58" t="s">
        <v>244</v>
      </c>
      <c r="J455" s="58">
        <v>47.6</v>
      </c>
      <c r="K455" s="339">
        <f>S455*6</f>
        <v>18486.316800000001</v>
      </c>
      <c r="L455" s="59">
        <f>S455*3</f>
        <v>9243.1584000000003</v>
      </c>
      <c r="M455" s="49" t="s">
        <v>10</v>
      </c>
      <c r="N455" s="35">
        <v>6.54</v>
      </c>
      <c r="O455" s="35">
        <v>6.54</v>
      </c>
      <c r="P455" s="67" t="s">
        <v>243</v>
      </c>
      <c r="Q455" s="58"/>
      <c r="R455" s="282"/>
      <c r="S455" s="94">
        <f>14.5*J455*1.2*(1+1.2+0.9)*1.2</f>
        <v>3081.0528000000004</v>
      </c>
      <c r="T455" s="235"/>
    </row>
    <row r="456" spans="1:20" s="264" customFormat="1" ht="20.399999999999999" x14ac:dyDescent="0.2">
      <c r="A456" s="71"/>
      <c r="B456" s="293"/>
      <c r="C456" s="293"/>
      <c r="D456" s="293"/>
      <c r="E456" s="143"/>
      <c r="F456" s="293"/>
      <c r="G456" s="293"/>
      <c r="H456" s="293"/>
      <c r="I456" s="293"/>
      <c r="J456" s="293"/>
      <c r="K456" s="120"/>
      <c r="L456" s="119"/>
      <c r="M456" s="49" t="s">
        <v>11</v>
      </c>
      <c r="N456" s="35">
        <v>10.49</v>
      </c>
      <c r="O456" s="35">
        <v>10.49</v>
      </c>
      <c r="P456" s="98"/>
      <c r="Q456" s="71"/>
      <c r="R456" s="282"/>
      <c r="S456" s="94"/>
      <c r="T456" s="235"/>
    </row>
    <row r="457" spans="1:20" s="264" customFormat="1" ht="10.199999999999999" x14ac:dyDescent="0.2">
      <c r="A457" s="71"/>
      <c r="B457" s="293"/>
      <c r="C457" s="293"/>
      <c r="D457" s="293"/>
      <c r="E457" s="92"/>
      <c r="F457" s="293"/>
      <c r="G457" s="293"/>
      <c r="H457" s="293"/>
      <c r="I457" s="293"/>
      <c r="J457" s="293"/>
      <c r="K457" s="120"/>
      <c r="L457" s="119"/>
      <c r="M457" s="49" t="s">
        <v>12</v>
      </c>
      <c r="N457" s="35">
        <v>0</v>
      </c>
      <c r="O457" s="35">
        <v>0</v>
      </c>
      <c r="P457" s="98"/>
      <c r="Q457" s="71"/>
      <c r="R457" s="282"/>
      <c r="S457" s="94"/>
      <c r="T457" s="235"/>
    </row>
    <row r="458" spans="1:20" s="264" customFormat="1" ht="10.199999999999999" x14ac:dyDescent="0.2">
      <c r="A458" s="71"/>
      <c r="B458" s="293"/>
      <c r="C458" s="293"/>
      <c r="D458" s="293"/>
      <c r="E458" s="92"/>
      <c r="F458" s="293"/>
      <c r="G458" s="293"/>
      <c r="H458" s="293"/>
      <c r="I458" s="293"/>
      <c r="J458" s="293"/>
      <c r="K458" s="120"/>
      <c r="L458" s="119"/>
      <c r="M458" s="49" t="s">
        <v>13</v>
      </c>
      <c r="N458" s="35">
        <v>62.62</v>
      </c>
      <c r="O458" s="35">
        <v>62.62</v>
      </c>
      <c r="P458" s="98"/>
      <c r="Q458" s="71"/>
      <c r="R458" s="282"/>
      <c r="S458" s="94"/>
      <c r="T458" s="235"/>
    </row>
    <row r="459" spans="1:20" s="264" customFormat="1" ht="10.199999999999999" x14ac:dyDescent="0.2">
      <c r="A459" s="71"/>
      <c r="B459" s="293"/>
      <c r="C459" s="293"/>
      <c r="D459" s="293"/>
      <c r="E459" s="92"/>
      <c r="F459" s="293"/>
      <c r="G459" s="293"/>
      <c r="H459" s="293"/>
      <c r="I459" s="293"/>
      <c r="J459" s="293"/>
      <c r="K459" s="120"/>
      <c r="L459" s="119"/>
      <c r="M459" s="49" t="s">
        <v>14</v>
      </c>
      <c r="N459" s="35">
        <v>6.64</v>
      </c>
      <c r="O459" s="35">
        <v>6.64</v>
      </c>
      <c r="P459" s="98"/>
      <c r="Q459" s="71"/>
      <c r="R459" s="282"/>
      <c r="S459" s="94"/>
      <c r="T459" s="235"/>
    </row>
    <row r="460" spans="1:20" s="264" customFormat="1" x14ac:dyDescent="0.2">
      <c r="A460" s="87"/>
      <c r="B460" s="289"/>
      <c r="C460" s="289"/>
      <c r="D460" s="289"/>
      <c r="E460" s="78"/>
      <c r="F460" s="289"/>
      <c r="G460" s="289"/>
      <c r="H460" s="289"/>
      <c r="I460" s="289"/>
      <c r="J460" s="289"/>
      <c r="K460" s="122"/>
      <c r="L460" s="121"/>
      <c r="M460" s="49" t="s">
        <v>533</v>
      </c>
      <c r="N460" s="217" t="s">
        <v>485</v>
      </c>
      <c r="O460" s="218"/>
      <c r="P460" s="99"/>
      <c r="Q460" s="87"/>
      <c r="R460" s="282"/>
      <c r="S460" s="94"/>
      <c r="T460" s="235"/>
    </row>
    <row r="461" spans="1:20" s="264" customFormat="1" ht="10.199999999999999" x14ac:dyDescent="0.2">
      <c r="A461" s="58">
        <f>A455+1</f>
        <v>74</v>
      </c>
      <c r="B461" s="95">
        <v>43804</v>
      </c>
      <c r="C461" s="95">
        <v>52936</v>
      </c>
      <c r="D461" s="58" t="s">
        <v>553</v>
      </c>
      <c r="E461" s="58" t="s">
        <v>366</v>
      </c>
      <c r="F461" s="58" t="s">
        <v>299</v>
      </c>
      <c r="G461" s="58" t="s">
        <v>248</v>
      </c>
      <c r="H461" s="58" t="s">
        <v>476</v>
      </c>
      <c r="I461" s="58" t="s">
        <v>249</v>
      </c>
      <c r="J461" s="58">
        <v>464.2</v>
      </c>
      <c r="K461" s="339">
        <f>S461*6</f>
        <v>31985.236799999999</v>
      </c>
      <c r="L461" s="59">
        <f>S461*3</f>
        <v>15992.618399999999</v>
      </c>
      <c r="M461" s="49" t="s">
        <v>10</v>
      </c>
      <c r="N461" s="34">
        <v>18091.54</v>
      </c>
      <c r="O461" s="34">
        <v>4268.97</v>
      </c>
      <c r="P461" s="67" t="s">
        <v>597</v>
      </c>
      <c r="Q461" s="58" t="s">
        <v>623</v>
      </c>
      <c r="R461" s="282"/>
      <c r="S461" s="94">
        <f>14.5*J461*1.2*(1+1.2+1.1)*0.2</f>
        <v>5330.8728000000001</v>
      </c>
      <c r="T461" s="235"/>
    </row>
    <row r="462" spans="1:20" s="264" customFormat="1" ht="20.399999999999999" x14ac:dyDescent="0.2">
      <c r="A462" s="71"/>
      <c r="B462" s="293"/>
      <c r="C462" s="293"/>
      <c r="D462" s="293"/>
      <c r="E462" s="143"/>
      <c r="F462" s="293"/>
      <c r="G462" s="293"/>
      <c r="H462" s="293"/>
      <c r="I462" s="293"/>
      <c r="J462" s="293"/>
      <c r="K462" s="120"/>
      <c r="L462" s="119"/>
      <c r="M462" s="49" t="s">
        <v>11</v>
      </c>
      <c r="N462" s="34">
        <v>13052.08</v>
      </c>
      <c r="O462" s="34">
        <v>3032.12</v>
      </c>
      <c r="P462" s="98"/>
      <c r="Q462" s="71"/>
      <c r="R462" s="282"/>
      <c r="S462" s="94"/>
      <c r="T462" s="235"/>
    </row>
    <row r="463" spans="1:20" s="264" customFormat="1" ht="10.199999999999999" x14ac:dyDescent="0.2">
      <c r="A463" s="71"/>
      <c r="B463" s="293"/>
      <c r="C463" s="293"/>
      <c r="D463" s="293"/>
      <c r="E463" s="92"/>
      <c r="F463" s="293"/>
      <c r="G463" s="293"/>
      <c r="H463" s="293"/>
      <c r="I463" s="293"/>
      <c r="J463" s="293"/>
      <c r="K463" s="120"/>
      <c r="L463" s="119"/>
      <c r="M463" s="49" t="s">
        <v>12</v>
      </c>
      <c r="N463" s="34">
        <v>2013.68</v>
      </c>
      <c r="O463" s="34">
        <v>2013.68</v>
      </c>
      <c r="P463" s="98"/>
      <c r="Q463" s="71"/>
      <c r="R463" s="282"/>
      <c r="S463" s="94"/>
      <c r="T463" s="235"/>
    </row>
    <row r="464" spans="1:20" s="264" customFormat="1" ht="10.199999999999999" x14ac:dyDescent="0.2">
      <c r="A464" s="71"/>
      <c r="B464" s="293"/>
      <c r="C464" s="293"/>
      <c r="D464" s="293"/>
      <c r="E464" s="92"/>
      <c r="F464" s="293"/>
      <c r="G464" s="293"/>
      <c r="H464" s="293"/>
      <c r="I464" s="293"/>
      <c r="J464" s="293"/>
      <c r="K464" s="120"/>
      <c r="L464" s="119"/>
      <c r="M464" s="49" t="s">
        <v>13</v>
      </c>
      <c r="N464" s="34">
        <v>0</v>
      </c>
      <c r="O464" s="34">
        <v>0</v>
      </c>
      <c r="P464" s="98"/>
      <c r="Q464" s="71"/>
      <c r="R464" s="282"/>
      <c r="S464" s="94"/>
      <c r="T464" s="235"/>
    </row>
    <row r="465" spans="1:20" s="264" customFormat="1" ht="10.199999999999999" x14ac:dyDescent="0.2">
      <c r="A465" s="71"/>
      <c r="B465" s="293"/>
      <c r="C465" s="293"/>
      <c r="D465" s="293"/>
      <c r="E465" s="92"/>
      <c r="F465" s="293"/>
      <c r="G465" s="293"/>
      <c r="H465" s="293"/>
      <c r="I465" s="293"/>
      <c r="J465" s="293"/>
      <c r="K465" s="120"/>
      <c r="L465" s="119"/>
      <c r="M465" s="49" t="s">
        <v>14</v>
      </c>
      <c r="N465" s="34">
        <v>1006.68</v>
      </c>
      <c r="O465" s="34">
        <v>1006.68</v>
      </c>
      <c r="P465" s="98"/>
      <c r="Q465" s="71"/>
      <c r="R465" s="282"/>
      <c r="S465" s="94"/>
      <c r="T465" s="235"/>
    </row>
    <row r="466" spans="1:20" s="264" customFormat="1" x14ac:dyDescent="0.2">
      <c r="A466" s="87"/>
      <c r="B466" s="289"/>
      <c r="C466" s="289"/>
      <c r="D466" s="289"/>
      <c r="E466" s="78"/>
      <c r="F466" s="289"/>
      <c r="G466" s="289"/>
      <c r="H466" s="289"/>
      <c r="I466" s="289"/>
      <c r="J466" s="289"/>
      <c r="K466" s="122"/>
      <c r="L466" s="121"/>
      <c r="M466" s="49" t="s">
        <v>533</v>
      </c>
      <c r="N466" s="217" t="s">
        <v>485</v>
      </c>
      <c r="O466" s="218"/>
      <c r="P466" s="99"/>
      <c r="Q466" s="87"/>
      <c r="R466" s="282"/>
      <c r="S466" s="94"/>
      <c r="T466" s="235"/>
    </row>
    <row r="467" spans="1:20" s="264" customFormat="1" ht="10.199999999999999" x14ac:dyDescent="0.2">
      <c r="A467" s="58">
        <f>A461+1</f>
        <v>75</v>
      </c>
      <c r="B467" s="95">
        <v>45098</v>
      </c>
      <c r="C467" s="95">
        <v>46889</v>
      </c>
      <c r="D467" s="58" t="s">
        <v>628</v>
      </c>
      <c r="E467" s="58" t="s">
        <v>368</v>
      </c>
      <c r="F467" s="58" t="s">
        <v>299</v>
      </c>
      <c r="G467" s="58" t="s">
        <v>255</v>
      </c>
      <c r="H467" s="58" t="s">
        <v>545</v>
      </c>
      <c r="I467" s="58" t="s">
        <v>256</v>
      </c>
      <c r="J467" s="58">
        <v>16.5</v>
      </c>
      <c r="K467" s="339">
        <f>S467*6</f>
        <v>6408.0719999999983</v>
      </c>
      <c r="L467" s="59">
        <f>S467*3</f>
        <v>3204.0359999999991</v>
      </c>
      <c r="M467" s="49" t="s">
        <v>10</v>
      </c>
      <c r="N467" s="59" t="s">
        <v>485</v>
      </c>
      <c r="O467" s="60"/>
      <c r="P467" s="67" t="s">
        <v>255</v>
      </c>
      <c r="Q467" s="58"/>
      <c r="R467" s="282"/>
      <c r="S467" s="94">
        <f>14.5*J467*1.2*(1+1.2+0.9)*1.2</f>
        <v>1068.0119999999997</v>
      </c>
      <c r="T467" s="235"/>
    </row>
    <row r="468" spans="1:20" s="264" customFormat="1" ht="20.399999999999999" x14ac:dyDescent="0.2">
      <c r="A468" s="71"/>
      <c r="B468" s="293"/>
      <c r="C468" s="293"/>
      <c r="D468" s="293"/>
      <c r="E468" s="293"/>
      <c r="F468" s="293"/>
      <c r="G468" s="293"/>
      <c r="H468" s="293"/>
      <c r="I468" s="293"/>
      <c r="J468" s="293"/>
      <c r="K468" s="120"/>
      <c r="L468" s="119"/>
      <c r="M468" s="49" t="s">
        <v>11</v>
      </c>
      <c r="N468" s="61"/>
      <c r="O468" s="62"/>
      <c r="P468" s="98"/>
      <c r="Q468" s="71"/>
      <c r="R468" s="282"/>
      <c r="S468" s="94"/>
      <c r="T468" s="235"/>
    </row>
    <row r="469" spans="1:20" s="264" customFormat="1" ht="10.199999999999999" x14ac:dyDescent="0.2">
      <c r="A469" s="71"/>
      <c r="B469" s="293"/>
      <c r="C469" s="293"/>
      <c r="D469" s="293"/>
      <c r="E469" s="293"/>
      <c r="F469" s="293"/>
      <c r="G469" s="293"/>
      <c r="H469" s="293"/>
      <c r="I469" s="293"/>
      <c r="J469" s="293"/>
      <c r="K469" s="120"/>
      <c r="L469" s="119"/>
      <c r="M469" s="49" t="s">
        <v>12</v>
      </c>
      <c r="N469" s="80"/>
      <c r="O469" s="81"/>
      <c r="P469" s="98"/>
      <c r="Q469" s="71"/>
      <c r="R469" s="282"/>
      <c r="S469" s="94"/>
      <c r="T469" s="235"/>
    </row>
    <row r="470" spans="1:20" s="264" customFormat="1" ht="10.199999999999999" x14ac:dyDescent="0.2">
      <c r="A470" s="71"/>
      <c r="B470" s="293"/>
      <c r="C470" s="293"/>
      <c r="D470" s="293"/>
      <c r="E470" s="293"/>
      <c r="F470" s="293"/>
      <c r="G470" s="293"/>
      <c r="H470" s="293"/>
      <c r="I470" s="293"/>
      <c r="J470" s="293"/>
      <c r="K470" s="120"/>
      <c r="L470" s="119"/>
      <c r="M470" s="49" t="s">
        <v>13</v>
      </c>
      <c r="N470" s="111" t="s">
        <v>457</v>
      </c>
      <c r="O470" s="89"/>
      <c r="P470" s="98"/>
      <c r="Q470" s="71"/>
      <c r="R470" s="282"/>
      <c r="S470" s="94"/>
      <c r="T470" s="235"/>
    </row>
    <row r="471" spans="1:20" s="264" customFormat="1" ht="10.199999999999999" x14ac:dyDescent="0.2">
      <c r="A471" s="71"/>
      <c r="B471" s="293"/>
      <c r="C471" s="293"/>
      <c r="D471" s="293"/>
      <c r="E471" s="293"/>
      <c r="F471" s="293"/>
      <c r="G471" s="293"/>
      <c r="H471" s="293"/>
      <c r="I471" s="293"/>
      <c r="J471" s="293"/>
      <c r="K471" s="120"/>
      <c r="L471" s="119"/>
      <c r="M471" s="49" t="s">
        <v>14</v>
      </c>
      <c r="N471" s="79" t="s">
        <v>485</v>
      </c>
      <c r="O471" s="60"/>
      <c r="P471" s="98"/>
      <c r="Q471" s="71"/>
      <c r="R471" s="282"/>
      <c r="S471" s="94"/>
      <c r="T471" s="235"/>
    </row>
    <row r="472" spans="1:20" s="264" customFormat="1" ht="10.199999999999999" x14ac:dyDescent="0.2">
      <c r="A472" s="87"/>
      <c r="B472" s="289"/>
      <c r="C472" s="289"/>
      <c r="D472" s="289"/>
      <c r="E472" s="289"/>
      <c r="F472" s="289"/>
      <c r="G472" s="289"/>
      <c r="H472" s="289"/>
      <c r="I472" s="289"/>
      <c r="J472" s="289"/>
      <c r="K472" s="122"/>
      <c r="L472" s="121"/>
      <c r="M472" s="49" t="s">
        <v>533</v>
      </c>
      <c r="N472" s="80"/>
      <c r="O472" s="81"/>
      <c r="P472" s="99"/>
      <c r="Q472" s="87"/>
      <c r="R472" s="282"/>
      <c r="S472" s="94"/>
      <c r="T472" s="235"/>
    </row>
    <row r="473" spans="1:20" s="264" customFormat="1" ht="10.199999999999999" x14ac:dyDescent="0.2">
      <c r="A473" s="58">
        <f>A467+1</f>
        <v>76</v>
      </c>
      <c r="B473" s="70">
        <v>44448</v>
      </c>
      <c r="C473" s="70">
        <v>45543</v>
      </c>
      <c r="D473" s="110" t="s">
        <v>547</v>
      </c>
      <c r="E473" s="58" t="s">
        <v>368</v>
      </c>
      <c r="F473" s="58" t="s">
        <v>299</v>
      </c>
      <c r="G473" s="110" t="s">
        <v>268</v>
      </c>
      <c r="H473" s="110" t="s">
        <v>369</v>
      </c>
      <c r="I473" s="110" t="s">
        <v>269</v>
      </c>
      <c r="J473" s="123">
        <v>55.3</v>
      </c>
      <c r="K473" s="339">
        <f>S473*6</f>
        <v>1789.7291999999998</v>
      </c>
      <c r="L473" s="59">
        <f>S473*3</f>
        <v>894.86459999999988</v>
      </c>
      <c r="M473" s="49" t="s">
        <v>10</v>
      </c>
      <c r="N473" s="59" t="s">
        <v>616</v>
      </c>
      <c r="O473" s="272"/>
      <c r="P473" s="60"/>
      <c r="Q473" s="58" t="s">
        <v>546</v>
      </c>
      <c r="R473" s="282"/>
      <c r="S473" s="94">
        <f>14.5*J473*1.2*(1+1.2+0.9)*0.1</f>
        <v>298.28819999999996</v>
      </c>
      <c r="T473" s="235"/>
    </row>
    <row r="474" spans="1:20" s="264" customFormat="1" ht="20.399999999999999" x14ac:dyDescent="0.2">
      <c r="A474" s="71"/>
      <c r="B474" s="293"/>
      <c r="C474" s="293"/>
      <c r="D474" s="293"/>
      <c r="E474" s="293"/>
      <c r="F474" s="293"/>
      <c r="G474" s="293"/>
      <c r="H474" s="293"/>
      <c r="I474" s="293"/>
      <c r="J474" s="293"/>
      <c r="K474" s="120"/>
      <c r="L474" s="119"/>
      <c r="M474" s="49" t="s">
        <v>11</v>
      </c>
      <c r="N474" s="61"/>
      <c r="O474" s="273"/>
      <c r="P474" s="62"/>
      <c r="Q474" s="71"/>
      <c r="R474" s="282"/>
      <c r="S474" s="94"/>
      <c r="T474" s="235"/>
    </row>
    <row r="475" spans="1:20" s="264" customFormat="1" ht="10.199999999999999" x14ac:dyDescent="0.2">
      <c r="A475" s="71"/>
      <c r="B475" s="293"/>
      <c r="C475" s="293"/>
      <c r="D475" s="293"/>
      <c r="E475" s="293"/>
      <c r="F475" s="293"/>
      <c r="G475" s="293"/>
      <c r="H475" s="293"/>
      <c r="I475" s="293"/>
      <c r="J475" s="293"/>
      <c r="K475" s="120"/>
      <c r="L475" s="119"/>
      <c r="M475" s="49" t="s">
        <v>12</v>
      </c>
      <c r="N475" s="61"/>
      <c r="O475" s="273"/>
      <c r="P475" s="62"/>
      <c r="Q475" s="71"/>
      <c r="R475" s="282"/>
      <c r="S475" s="94"/>
      <c r="T475" s="235"/>
    </row>
    <row r="476" spans="1:20" s="264" customFormat="1" ht="10.199999999999999" x14ac:dyDescent="0.2">
      <c r="A476" s="71"/>
      <c r="B476" s="293"/>
      <c r="C476" s="293"/>
      <c r="D476" s="293"/>
      <c r="E476" s="293"/>
      <c r="F476" s="293"/>
      <c r="G476" s="293"/>
      <c r="H476" s="293"/>
      <c r="I476" s="293"/>
      <c r="J476" s="293"/>
      <c r="K476" s="120"/>
      <c r="L476" s="119"/>
      <c r="M476" s="49" t="s">
        <v>13</v>
      </c>
      <c r="N476" s="61"/>
      <c r="O476" s="273"/>
      <c r="P476" s="62"/>
      <c r="Q476" s="71"/>
      <c r="R476" s="282"/>
      <c r="S476" s="94"/>
      <c r="T476" s="235"/>
    </row>
    <row r="477" spans="1:20" s="264" customFormat="1" ht="10.199999999999999" x14ac:dyDescent="0.2">
      <c r="A477" s="71"/>
      <c r="B477" s="293"/>
      <c r="C477" s="293"/>
      <c r="D477" s="293"/>
      <c r="E477" s="293"/>
      <c r="F477" s="293"/>
      <c r="G477" s="293"/>
      <c r="H477" s="293"/>
      <c r="I477" s="293"/>
      <c r="J477" s="293"/>
      <c r="K477" s="120"/>
      <c r="L477" s="119"/>
      <c r="M477" s="49" t="s">
        <v>14</v>
      </c>
      <c r="N477" s="61"/>
      <c r="O477" s="273"/>
      <c r="P477" s="62"/>
      <c r="Q477" s="71"/>
      <c r="R477" s="282"/>
      <c r="S477" s="94"/>
      <c r="T477" s="235"/>
    </row>
    <row r="478" spans="1:20" s="264" customFormat="1" x14ac:dyDescent="0.2">
      <c r="A478" s="87"/>
      <c r="B478" s="289"/>
      <c r="C478" s="289"/>
      <c r="D478" s="289"/>
      <c r="E478" s="289"/>
      <c r="F478" s="289"/>
      <c r="G478" s="289"/>
      <c r="H478" s="289"/>
      <c r="I478" s="289"/>
      <c r="J478" s="289"/>
      <c r="K478" s="122"/>
      <c r="L478" s="121"/>
      <c r="M478" s="49" t="s">
        <v>533</v>
      </c>
      <c r="N478" s="89" t="s">
        <v>485</v>
      </c>
      <c r="O478" s="100"/>
      <c r="P478" s="100"/>
      <c r="Q478" s="87"/>
      <c r="R478" s="282"/>
      <c r="S478" s="94"/>
      <c r="T478" s="235"/>
    </row>
    <row r="479" spans="1:20" s="264" customFormat="1" ht="28.8" customHeight="1" x14ac:dyDescent="0.2">
      <c r="A479" s="58">
        <f>A473+1</f>
        <v>77</v>
      </c>
      <c r="B479" s="70">
        <v>43101</v>
      </c>
      <c r="C479" s="70">
        <v>46752</v>
      </c>
      <c r="D479" s="58" t="s">
        <v>272</v>
      </c>
      <c r="E479" s="58" t="s">
        <v>368</v>
      </c>
      <c r="F479" s="58" t="s">
        <v>299</v>
      </c>
      <c r="G479" s="58" t="s">
        <v>30</v>
      </c>
      <c r="H479" s="58" t="s">
        <v>370</v>
      </c>
      <c r="I479" s="58" t="s">
        <v>144</v>
      </c>
      <c r="J479" s="58">
        <v>22.75</v>
      </c>
      <c r="K479" s="339">
        <f>S479*6</f>
        <v>4417.6859999999997</v>
      </c>
      <c r="L479" s="59">
        <f>S479*3</f>
        <v>2208.8429999999998</v>
      </c>
      <c r="M479" s="49" t="s">
        <v>10</v>
      </c>
      <c r="N479" s="111" t="s">
        <v>457</v>
      </c>
      <c r="O479" s="100"/>
      <c r="P479" s="67" t="s">
        <v>30</v>
      </c>
      <c r="Q479" s="58"/>
      <c r="R479" s="282"/>
      <c r="S479" s="94">
        <f>14.5*J479*1.2*(1+1.2+0.9)*0.6</f>
        <v>736.28099999999995</v>
      </c>
      <c r="T479" s="235"/>
    </row>
    <row r="480" spans="1:20" s="264" customFormat="1" ht="20.399999999999999" x14ac:dyDescent="0.2">
      <c r="A480" s="71"/>
      <c r="B480" s="293"/>
      <c r="C480" s="293"/>
      <c r="D480" s="293"/>
      <c r="E480" s="293"/>
      <c r="F480" s="293"/>
      <c r="G480" s="293"/>
      <c r="H480" s="293"/>
      <c r="I480" s="293"/>
      <c r="J480" s="293"/>
      <c r="K480" s="120"/>
      <c r="L480" s="119"/>
      <c r="M480" s="49" t="s">
        <v>11</v>
      </c>
      <c r="N480" s="59" t="s">
        <v>489</v>
      </c>
      <c r="O480" s="60"/>
      <c r="P480" s="98"/>
      <c r="Q480" s="71"/>
      <c r="R480" s="282"/>
      <c r="S480" s="94"/>
      <c r="T480" s="235"/>
    </row>
    <row r="481" spans="1:20" s="264" customFormat="1" ht="10.199999999999999" x14ac:dyDescent="0.2">
      <c r="A481" s="71"/>
      <c r="B481" s="293"/>
      <c r="C481" s="293"/>
      <c r="D481" s="293"/>
      <c r="E481" s="293"/>
      <c r="F481" s="293"/>
      <c r="G481" s="293"/>
      <c r="H481" s="293"/>
      <c r="I481" s="293"/>
      <c r="J481" s="293"/>
      <c r="K481" s="120"/>
      <c r="L481" s="119"/>
      <c r="M481" s="49" t="s">
        <v>12</v>
      </c>
      <c r="N481" s="61"/>
      <c r="O481" s="62"/>
      <c r="P481" s="98"/>
      <c r="Q481" s="71"/>
      <c r="R481" s="282"/>
      <c r="S481" s="94"/>
      <c r="T481" s="235"/>
    </row>
    <row r="482" spans="1:20" s="264" customFormat="1" ht="10.199999999999999" x14ac:dyDescent="0.2">
      <c r="A482" s="71"/>
      <c r="B482" s="293"/>
      <c r="C482" s="293"/>
      <c r="D482" s="293"/>
      <c r="E482" s="293"/>
      <c r="F482" s="293"/>
      <c r="G482" s="293"/>
      <c r="H482" s="293"/>
      <c r="I482" s="293"/>
      <c r="J482" s="293"/>
      <c r="K482" s="120"/>
      <c r="L482" s="119"/>
      <c r="M482" s="49" t="s">
        <v>13</v>
      </c>
      <c r="N482" s="61"/>
      <c r="O482" s="62"/>
      <c r="P482" s="98"/>
      <c r="Q482" s="71"/>
      <c r="R482" s="282"/>
      <c r="S482" s="94"/>
      <c r="T482" s="235"/>
    </row>
    <row r="483" spans="1:20" s="264" customFormat="1" ht="10.199999999999999" x14ac:dyDescent="0.2">
      <c r="A483" s="71"/>
      <c r="B483" s="293"/>
      <c r="C483" s="293"/>
      <c r="D483" s="293"/>
      <c r="E483" s="293"/>
      <c r="F483" s="293"/>
      <c r="G483" s="293"/>
      <c r="H483" s="293"/>
      <c r="I483" s="293"/>
      <c r="J483" s="293"/>
      <c r="K483" s="120"/>
      <c r="L483" s="119"/>
      <c r="M483" s="49" t="s">
        <v>14</v>
      </c>
      <c r="N483" s="61"/>
      <c r="O483" s="62"/>
      <c r="P483" s="98"/>
      <c r="Q483" s="71"/>
      <c r="R483" s="282"/>
      <c r="S483" s="94"/>
      <c r="T483" s="235"/>
    </row>
    <row r="484" spans="1:20" s="264" customFormat="1" x14ac:dyDescent="0.2">
      <c r="A484" s="87"/>
      <c r="B484" s="289"/>
      <c r="C484" s="289"/>
      <c r="D484" s="289"/>
      <c r="E484" s="289"/>
      <c r="F484" s="289"/>
      <c r="G484" s="289"/>
      <c r="H484" s="289"/>
      <c r="I484" s="289"/>
      <c r="J484" s="289"/>
      <c r="K484" s="122"/>
      <c r="L484" s="121"/>
      <c r="M484" s="49" t="s">
        <v>533</v>
      </c>
      <c r="N484" s="217" t="s">
        <v>485</v>
      </c>
      <c r="O484" s="218"/>
      <c r="P484" s="99"/>
      <c r="Q484" s="87"/>
      <c r="R484" s="282"/>
      <c r="S484" s="94"/>
      <c r="T484" s="235"/>
    </row>
    <row r="485" spans="1:20" s="264" customFormat="1" ht="37.200000000000003" customHeight="1" x14ac:dyDescent="0.2">
      <c r="A485" s="58">
        <f>A479+1</f>
        <v>78</v>
      </c>
      <c r="B485" s="95">
        <v>43444</v>
      </c>
      <c r="C485" s="95">
        <v>47096</v>
      </c>
      <c r="D485" s="58" t="s">
        <v>275</v>
      </c>
      <c r="E485" s="58" t="s">
        <v>368</v>
      </c>
      <c r="F485" s="58" t="s">
        <v>299</v>
      </c>
      <c r="G485" s="58" t="s">
        <v>276</v>
      </c>
      <c r="H485" s="58" t="s">
        <v>371</v>
      </c>
      <c r="I485" s="58" t="s">
        <v>277</v>
      </c>
      <c r="J485" s="67">
        <f>485.1+81.1+246.7+238.6+291.4+61.3+139.7</f>
        <v>1543.9</v>
      </c>
      <c r="K485" s="339">
        <f>S485*6</f>
        <v>350573.37300000008</v>
      </c>
      <c r="L485" s="111">
        <f>S485*3</f>
        <v>175286.68650000004</v>
      </c>
      <c r="M485" s="18" t="s">
        <v>10</v>
      </c>
      <c r="N485" s="111" t="s">
        <v>495</v>
      </c>
      <c r="O485" s="100"/>
      <c r="P485" s="67" t="s">
        <v>276</v>
      </c>
      <c r="Q485" s="58"/>
      <c r="R485" s="282"/>
      <c r="S485" s="94">
        <f>14.5*J485*1*(1+1.2+0.7)*0.9</f>
        <v>58428.895500000013</v>
      </c>
      <c r="T485" s="235"/>
    </row>
    <row r="486" spans="1:20" s="264" customFormat="1" ht="37.799999999999997" customHeight="1" x14ac:dyDescent="0.2">
      <c r="A486" s="71"/>
      <c r="B486" s="293"/>
      <c r="C486" s="293"/>
      <c r="D486" s="293"/>
      <c r="E486" s="293"/>
      <c r="F486" s="293"/>
      <c r="G486" s="293"/>
      <c r="H486" s="293"/>
      <c r="I486" s="293"/>
      <c r="J486" s="293"/>
      <c r="K486" s="120"/>
      <c r="L486" s="175"/>
      <c r="M486" s="18" t="s">
        <v>11</v>
      </c>
      <c r="N486" s="111" t="s">
        <v>457</v>
      </c>
      <c r="O486" s="100"/>
      <c r="P486" s="98"/>
      <c r="Q486" s="71"/>
      <c r="R486" s="282"/>
      <c r="S486" s="94"/>
      <c r="T486" s="235"/>
    </row>
    <row r="487" spans="1:20" s="264" customFormat="1" ht="10.199999999999999" x14ac:dyDescent="0.2">
      <c r="A487" s="71"/>
      <c r="B487" s="293"/>
      <c r="C487" s="293"/>
      <c r="D487" s="293"/>
      <c r="E487" s="293"/>
      <c r="F487" s="293"/>
      <c r="G487" s="293"/>
      <c r="H487" s="293"/>
      <c r="I487" s="293"/>
      <c r="J487" s="293"/>
      <c r="K487" s="120"/>
      <c r="L487" s="175"/>
      <c r="M487" s="18" t="s">
        <v>12</v>
      </c>
      <c r="N487" s="59" t="s">
        <v>485</v>
      </c>
      <c r="O487" s="60"/>
      <c r="P487" s="98"/>
      <c r="Q487" s="71"/>
      <c r="R487" s="282"/>
      <c r="S487" s="94"/>
      <c r="T487" s="235"/>
    </row>
    <row r="488" spans="1:20" s="264" customFormat="1" ht="10.199999999999999" x14ac:dyDescent="0.2">
      <c r="A488" s="71"/>
      <c r="B488" s="293"/>
      <c r="C488" s="293"/>
      <c r="D488" s="293"/>
      <c r="E488" s="293"/>
      <c r="F488" s="293"/>
      <c r="G488" s="293"/>
      <c r="H488" s="293"/>
      <c r="I488" s="293"/>
      <c r="J488" s="293"/>
      <c r="K488" s="120"/>
      <c r="L488" s="175"/>
      <c r="M488" s="18" t="s">
        <v>13</v>
      </c>
      <c r="N488" s="61"/>
      <c r="O488" s="62"/>
      <c r="P488" s="98"/>
      <c r="Q488" s="71"/>
      <c r="R488" s="282"/>
      <c r="S488" s="94"/>
      <c r="T488" s="235"/>
    </row>
    <row r="489" spans="1:20" s="264" customFormat="1" ht="10.199999999999999" x14ac:dyDescent="0.2">
      <c r="A489" s="71"/>
      <c r="B489" s="293"/>
      <c r="C489" s="293"/>
      <c r="D489" s="293"/>
      <c r="E489" s="293"/>
      <c r="F489" s="293"/>
      <c r="G489" s="293"/>
      <c r="H489" s="293"/>
      <c r="I489" s="293"/>
      <c r="J489" s="293"/>
      <c r="K489" s="120"/>
      <c r="L489" s="175"/>
      <c r="M489" s="18" t="s">
        <v>14</v>
      </c>
      <c r="N489" s="61"/>
      <c r="O489" s="62"/>
      <c r="P489" s="98"/>
      <c r="Q489" s="71"/>
      <c r="R489" s="282"/>
      <c r="S489" s="94"/>
      <c r="T489" s="235"/>
    </row>
    <row r="490" spans="1:20" s="264" customFormat="1" ht="10.199999999999999" x14ac:dyDescent="0.2">
      <c r="A490" s="87"/>
      <c r="B490" s="289"/>
      <c r="C490" s="289"/>
      <c r="D490" s="289"/>
      <c r="E490" s="289"/>
      <c r="F490" s="289"/>
      <c r="G490" s="289"/>
      <c r="H490" s="289"/>
      <c r="I490" s="289"/>
      <c r="J490" s="289"/>
      <c r="K490" s="122"/>
      <c r="L490" s="175"/>
      <c r="M490" s="252" t="s">
        <v>533</v>
      </c>
      <c r="N490" s="80"/>
      <c r="O490" s="81"/>
      <c r="P490" s="99"/>
      <c r="Q490" s="87"/>
      <c r="R490" s="282"/>
      <c r="S490" s="94"/>
      <c r="T490" s="235"/>
    </row>
    <row r="491" spans="1:20" s="264" customFormat="1" ht="10.199999999999999" x14ac:dyDescent="0.2">
      <c r="A491" s="58">
        <f>A485+1</f>
        <v>79</v>
      </c>
      <c r="B491" s="95">
        <v>43515</v>
      </c>
      <c r="C491" s="95">
        <v>47167</v>
      </c>
      <c r="D491" s="58" t="s">
        <v>278</v>
      </c>
      <c r="E491" s="58" t="s">
        <v>368</v>
      </c>
      <c r="F491" s="58" t="s">
        <v>299</v>
      </c>
      <c r="G491" s="58" t="s">
        <v>279</v>
      </c>
      <c r="H491" s="58" t="s">
        <v>372</v>
      </c>
      <c r="I491" s="58" t="s">
        <v>280</v>
      </c>
      <c r="J491" s="58">
        <v>432.3</v>
      </c>
      <c r="K491" s="339">
        <f>S491*3</f>
        <v>30820.706999999999</v>
      </c>
      <c r="L491" s="59">
        <f>S491*3</f>
        <v>30820.706999999999</v>
      </c>
      <c r="M491" s="49" t="s">
        <v>10</v>
      </c>
      <c r="N491" s="59" t="s">
        <v>485</v>
      </c>
      <c r="O491" s="118"/>
      <c r="P491" s="67" t="s">
        <v>279</v>
      </c>
      <c r="Q491" s="58"/>
      <c r="R491" s="282"/>
      <c r="S491" s="94">
        <f>(14.5*93.8*1*(1+1.2+0.9)*0.9)+(14.5*338.5*1*(1+1.2)*0.6)</f>
        <v>10273.569</v>
      </c>
      <c r="T491" s="235"/>
    </row>
    <row r="492" spans="1:20" s="264" customFormat="1" ht="20.399999999999999" x14ac:dyDescent="0.2">
      <c r="A492" s="71"/>
      <c r="B492" s="293"/>
      <c r="C492" s="293"/>
      <c r="D492" s="293"/>
      <c r="E492" s="293"/>
      <c r="F492" s="293"/>
      <c r="G492" s="293"/>
      <c r="H492" s="293"/>
      <c r="I492" s="293"/>
      <c r="J492" s="293"/>
      <c r="K492" s="120"/>
      <c r="L492" s="119"/>
      <c r="M492" s="49" t="s">
        <v>11</v>
      </c>
      <c r="N492" s="119"/>
      <c r="O492" s="120"/>
      <c r="P492" s="98"/>
      <c r="Q492" s="71"/>
      <c r="R492" s="282"/>
      <c r="S492" s="94"/>
      <c r="T492" s="235"/>
    </row>
    <row r="493" spans="1:20" s="264" customFormat="1" ht="10.199999999999999" x14ac:dyDescent="0.2">
      <c r="A493" s="71"/>
      <c r="B493" s="293"/>
      <c r="C493" s="293"/>
      <c r="D493" s="293"/>
      <c r="E493" s="293"/>
      <c r="F493" s="293"/>
      <c r="G493" s="293"/>
      <c r="H493" s="293"/>
      <c r="I493" s="293"/>
      <c r="J493" s="293"/>
      <c r="K493" s="120"/>
      <c r="L493" s="119"/>
      <c r="M493" s="49" t="s">
        <v>12</v>
      </c>
      <c r="N493" s="119"/>
      <c r="O493" s="120"/>
      <c r="P493" s="98"/>
      <c r="Q493" s="71"/>
      <c r="R493" s="282"/>
      <c r="S493" s="94"/>
      <c r="T493" s="235"/>
    </row>
    <row r="494" spans="1:20" s="264" customFormat="1" ht="10.199999999999999" x14ac:dyDescent="0.2">
      <c r="A494" s="71"/>
      <c r="B494" s="293"/>
      <c r="C494" s="293"/>
      <c r="D494" s="293"/>
      <c r="E494" s="293"/>
      <c r="F494" s="293"/>
      <c r="G494" s="293"/>
      <c r="H494" s="293"/>
      <c r="I494" s="293"/>
      <c r="J494" s="293"/>
      <c r="K494" s="120"/>
      <c r="L494" s="119"/>
      <c r="M494" s="49" t="s">
        <v>13</v>
      </c>
      <c r="N494" s="119"/>
      <c r="O494" s="120"/>
      <c r="P494" s="98"/>
      <c r="Q494" s="71"/>
      <c r="R494" s="282"/>
      <c r="S494" s="94"/>
      <c r="T494" s="235"/>
    </row>
    <row r="495" spans="1:20" s="264" customFormat="1" ht="10.199999999999999" x14ac:dyDescent="0.2">
      <c r="A495" s="71"/>
      <c r="B495" s="293"/>
      <c r="C495" s="293"/>
      <c r="D495" s="293"/>
      <c r="E495" s="293"/>
      <c r="F495" s="293"/>
      <c r="G495" s="293"/>
      <c r="H495" s="293"/>
      <c r="I495" s="293"/>
      <c r="J495" s="293"/>
      <c r="K495" s="120"/>
      <c r="L495" s="119"/>
      <c r="M495" s="49" t="s">
        <v>14</v>
      </c>
      <c r="N495" s="119"/>
      <c r="O495" s="120"/>
      <c r="P495" s="98"/>
      <c r="Q495" s="71"/>
      <c r="R495" s="282"/>
      <c r="S495" s="94"/>
      <c r="T495" s="235"/>
    </row>
    <row r="496" spans="1:20" s="264" customFormat="1" ht="10.199999999999999" x14ac:dyDescent="0.2">
      <c r="A496" s="87"/>
      <c r="B496" s="289"/>
      <c r="C496" s="289"/>
      <c r="D496" s="289"/>
      <c r="E496" s="289"/>
      <c r="F496" s="289"/>
      <c r="G496" s="289"/>
      <c r="H496" s="289"/>
      <c r="I496" s="289"/>
      <c r="J496" s="289"/>
      <c r="K496" s="122"/>
      <c r="L496" s="121"/>
      <c r="M496" s="49" t="s">
        <v>533</v>
      </c>
      <c r="N496" s="121"/>
      <c r="O496" s="122"/>
      <c r="P496" s="99"/>
      <c r="Q496" s="87"/>
      <c r="R496" s="282"/>
      <c r="S496" s="94"/>
      <c r="T496" s="235"/>
    </row>
    <row r="497" spans="1:20" s="264" customFormat="1" ht="10.199999999999999" x14ac:dyDescent="0.2">
      <c r="A497" s="58">
        <f>A491+1</f>
        <v>80</v>
      </c>
      <c r="B497" s="70">
        <v>45078</v>
      </c>
      <c r="C497" s="70">
        <v>46022</v>
      </c>
      <c r="D497" s="110" t="s">
        <v>666</v>
      </c>
      <c r="E497" s="58" t="s">
        <v>368</v>
      </c>
      <c r="F497" s="58" t="s">
        <v>299</v>
      </c>
      <c r="G497" s="110" t="s">
        <v>285</v>
      </c>
      <c r="H497" s="110" t="s">
        <v>373</v>
      </c>
      <c r="I497" s="110" t="s">
        <v>286</v>
      </c>
      <c r="J497" s="123">
        <v>29.9</v>
      </c>
      <c r="K497" s="339">
        <f>S497*6</f>
        <v>967.68359999999984</v>
      </c>
      <c r="L497" s="59">
        <f>S497*3</f>
        <v>483.84179999999992</v>
      </c>
      <c r="M497" s="49" t="s">
        <v>10</v>
      </c>
      <c r="N497" s="34">
        <v>146.28</v>
      </c>
      <c r="O497" s="34">
        <v>146.28</v>
      </c>
      <c r="P497" s="58" t="s">
        <v>285</v>
      </c>
      <c r="Q497" s="58"/>
      <c r="R497" s="282"/>
      <c r="S497" s="94">
        <f>14.5*J497*1.2*(1+1.2+0.9)*0.1</f>
        <v>161.28059999999996</v>
      </c>
      <c r="T497" s="235"/>
    </row>
    <row r="498" spans="1:20" s="264" customFormat="1" ht="20.399999999999999" x14ac:dyDescent="0.2">
      <c r="A498" s="71"/>
      <c r="B498" s="293"/>
      <c r="C498" s="293"/>
      <c r="D498" s="92"/>
      <c r="E498" s="293"/>
      <c r="F498" s="293"/>
      <c r="G498" s="293"/>
      <c r="H498" s="293"/>
      <c r="I498" s="293"/>
      <c r="J498" s="293"/>
      <c r="K498" s="120"/>
      <c r="L498" s="119"/>
      <c r="M498" s="49" t="s">
        <v>11</v>
      </c>
      <c r="N498" s="34">
        <v>30.5</v>
      </c>
      <c r="O498" s="34">
        <v>30.5</v>
      </c>
      <c r="P498" s="71"/>
      <c r="Q498" s="71"/>
      <c r="R498" s="282"/>
      <c r="S498" s="94"/>
      <c r="T498" s="235"/>
    </row>
    <row r="499" spans="1:20" s="264" customFormat="1" ht="10.199999999999999" x14ac:dyDescent="0.2">
      <c r="A499" s="71"/>
      <c r="B499" s="293"/>
      <c r="C499" s="293"/>
      <c r="D499" s="92"/>
      <c r="E499" s="293"/>
      <c r="F499" s="293"/>
      <c r="G499" s="293"/>
      <c r="H499" s="293"/>
      <c r="I499" s="293"/>
      <c r="J499" s="293"/>
      <c r="K499" s="120"/>
      <c r="L499" s="119"/>
      <c r="M499" s="49" t="s">
        <v>12</v>
      </c>
      <c r="N499" s="34">
        <v>0</v>
      </c>
      <c r="O499" s="34">
        <v>0</v>
      </c>
      <c r="P499" s="71"/>
      <c r="Q499" s="71"/>
      <c r="R499" s="282"/>
      <c r="S499" s="94"/>
      <c r="T499" s="235"/>
    </row>
    <row r="500" spans="1:20" s="264" customFormat="1" ht="10.199999999999999" x14ac:dyDescent="0.2">
      <c r="A500" s="71"/>
      <c r="B500" s="293"/>
      <c r="C500" s="293"/>
      <c r="D500" s="92"/>
      <c r="E500" s="293"/>
      <c r="F500" s="293"/>
      <c r="G500" s="293"/>
      <c r="H500" s="293"/>
      <c r="I500" s="293"/>
      <c r="J500" s="293"/>
      <c r="K500" s="120"/>
      <c r="L500" s="119"/>
      <c r="M500" s="49" t="s">
        <v>13</v>
      </c>
      <c r="N500" s="34">
        <v>715.94</v>
      </c>
      <c r="O500" s="34">
        <v>715.94</v>
      </c>
      <c r="P500" s="71"/>
      <c r="Q500" s="71"/>
      <c r="R500" s="282"/>
      <c r="S500" s="94"/>
      <c r="T500" s="235"/>
    </row>
    <row r="501" spans="1:20" s="264" customFormat="1" ht="10.199999999999999" x14ac:dyDescent="0.2">
      <c r="A501" s="71"/>
      <c r="B501" s="293"/>
      <c r="C501" s="293"/>
      <c r="D501" s="92"/>
      <c r="E501" s="293"/>
      <c r="F501" s="293"/>
      <c r="G501" s="293"/>
      <c r="H501" s="293"/>
      <c r="I501" s="293"/>
      <c r="J501" s="293"/>
      <c r="K501" s="120"/>
      <c r="L501" s="119"/>
      <c r="M501" s="49" t="s">
        <v>14</v>
      </c>
      <c r="N501" s="34">
        <v>74.58</v>
      </c>
      <c r="O501" s="34">
        <v>74.58</v>
      </c>
      <c r="P501" s="71"/>
      <c r="Q501" s="71"/>
      <c r="R501" s="282"/>
      <c r="S501" s="94"/>
      <c r="T501" s="235"/>
    </row>
    <row r="502" spans="1:20" s="264" customFormat="1" x14ac:dyDescent="0.2">
      <c r="A502" s="87"/>
      <c r="B502" s="289"/>
      <c r="C502" s="289"/>
      <c r="D502" s="78"/>
      <c r="E502" s="289"/>
      <c r="F502" s="289"/>
      <c r="G502" s="289"/>
      <c r="H502" s="289"/>
      <c r="I502" s="289"/>
      <c r="J502" s="289"/>
      <c r="K502" s="122"/>
      <c r="L502" s="121"/>
      <c r="M502" s="49" t="s">
        <v>533</v>
      </c>
      <c r="N502" s="217" t="s">
        <v>485</v>
      </c>
      <c r="O502" s="218"/>
      <c r="P502" s="78"/>
      <c r="Q502" s="87"/>
      <c r="R502" s="282"/>
      <c r="S502" s="94"/>
      <c r="T502" s="235"/>
    </row>
    <row r="503" spans="1:20" s="264" customFormat="1" ht="32.4" customHeight="1" x14ac:dyDescent="0.2">
      <c r="A503" s="58">
        <f>A497+1</f>
        <v>81</v>
      </c>
      <c r="B503" s="70">
        <v>43901</v>
      </c>
      <c r="C503" s="70">
        <v>44927</v>
      </c>
      <c r="D503" s="110" t="s">
        <v>548</v>
      </c>
      <c r="E503" s="58" t="s">
        <v>368</v>
      </c>
      <c r="F503" s="58" t="s">
        <v>299</v>
      </c>
      <c r="G503" s="110" t="s">
        <v>287</v>
      </c>
      <c r="H503" s="110" t="s">
        <v>374</v>
      </c>
      <c r="I503" s="110" t="s">
        <v>288</v>
      </c>
      <c r="J503" s="123">
        <v>28.7</v>
      </c>
      <c r="K503" s="339">
        <f>S503*6</f>
        <v>928.84679999999992</v>
      </c>
      <c r="L503" s="59">
        <f>S503*3</f>
        <v>464.42339999999996</v>
      </c>
      <c r="M503" s="49" t="s">
        <v>10</v>
      </c>
      <c r="N503" s="59" t="s">
        <v>457</v>
      </c>
      <c r="O503" s="60"/>
      <c r="P503" s="67" t="s">
        <v>287</v>
      </c>
      <c r="Q503" s="58" t="s">
        <v>617</v>
      </c>
      <c r="R503" s="282"/>
      <c r="S503" s="94">
        <f>14.5*J503*1.2*(1+1.2+0.9)*0.1</f>
        <v>154.80779999999999</v>
      </c>
      <c r="T503" s="235"/>
    </row>
    <row r="504" spans="1:20" s="264" customFormat="1" ht="20.399999999999999" x14ac:dyDescent="0.2">
      <c r="A504" s="71"/>
      <c r="B504" s="293"/>
      <c r="C504" s="92"/>
      <c r="D504" s="92"/>
      <c r="E504" s="293"/>
      <c r="F504" s="293"/>
      <c r="G504" s="92"/>
      <c r="H504" s="92"/>
      <c r="I504" s="92"/>
      <c r="J504" s="92"/>
      <c r="K504" s="120"/>
      <c r="L504" s="119"/>
      <c r="M504" s="49" t="s">
        <v>11</v>
      </c>
      <c r="N504" s="34">
        <v>0</v>
      </c>
      <c r="O504" s="34">
        <v>0</v>
      </c>
      <c r="P504" s="92"/>
      <c r="Q504" s="71"/>
      <c r="R504" s="282"/>
      <c r="S504" s="94"/>
      <c r="T504" s="235"/>
    </row>
    <row r="505" spans="1:20" s="264" customFormat="1" ht="10.199999999999999" x14ac:dyDescent="0.2">
      <c r="A505" s="71"/>
      <c r="B505" s="293"/>
      <c r="C505" s="92"/>
      <c r="D505" s="92"/>
      <c r="E505" s="293"/>
      <c r="F505" s="293"/>
      <c r="G505" s="92"/>
      <c r="H505" s="92"/>
      <c r="I505" s="92"/>
      <c r="J505" s="92"/>
      <c r="K505" s="120"/>
      <c r="L505" s="119"/>
      <c r="M505" s="49" t="s">
        <v>12</v>
      </c>
      <c r="N505" s="34">
        <v>0</v>
      </c>
      <c r="O505" s="34">
        <v>0</v>
      </c>
      <c r="P505" s="92"/>
      <c r="Q505" s="71"/>
      <c r="R505" s="282"/>
      <c r="S505" s="94"/>
      <c r="T505" s="235"/>
    </row>
    <row r="506" spans="1:20" s="264" customFormat="1" ht="10.199999999999999" x14ac:dyDescent="0.2">
      <c r="A506" s="71"/>
      <c r="B506" s="293"/>
      <c r="C506" s="92"/>
      <c r="D506" s="92"/>
      <c r="E506" s="293"/>
      <c r="F506" s="293"/>
      <c r="G506" s="92"/>
      <c r="H506" s="92"/>
      <c r="I506" s="92"/>
      <c r="J506" s="92"/>
      <c r="K506" s="120"/>
      <c r="L506" s="119"/>
      <c r="M506" s="49" t="s">
        <v>13</v>
      </c>
      <c r="N506" s="34">
        <v>0</v>
      </c>
      <c r="O506" s="34">
        <v>0</v>
      </c>
      <c r="P506" s="92"/>
      <c r="Q506" s="71"/>
      <c r="R506" s="282"/>
      <c r="S506" s="94"/>
      <c r="T506" s="235"/>
    </row>
    <row r="507" spans="1:20" s="264" customFormat="1" ht="10.199999999999999" x14ac:dyDescent="0.2">
      <c r="A507" s="71"/>
      <c r="B507" s="293"/>
      <c r="C507" s="92"/>
      <c r="D507" s="92"/>
      <c r="E507" s="293"/>
      <c r="F507" s="293"/>
      <c r="G507" s="92"/>
      <c r="H507" s="92"/>
      <c r="I507" s="92"/>
      <c r="J507" s="92"/>
      <c r="K507" s="120"/>
      <c r="L507" s="119"/>
      <c r="M507" s="49" t="s">
        <v>14</v>
      </c>
      <c r="N507" s="34">
        <v>0</v>
      </c>
      <c r="O507" s="34">
        <v>0</v>
      </c>
      <c r="P507" s="92"/>
      <c r="Q507" s="71"/>
      <c r="R507" s="282"/>
      <c r="S507" s="94"/>
      <c r="T507" s="235"/>
    </row>
    <row r="508" spans="1:20" s="264" customFormat="1" x14ac:dyDescent="0.2">
      <c r="A508" s="87"/>
      <c r="B508" s="289"/>
      <c r="C508" s="78"/>
      <c r="D508" s="78"/>
      <c r="E508" s="289"/>
      <c r="F508" s="289"/>
      <c r="G508" s="78"/>
      <c r="H508" s="78"/>
      <c r="I508" s="78"/>
      <c r="J508" s="78"/>
      <c r="K508" s="122"/>
      <c r="L508" s="121"/>
      <c r="M508" s="49" t="s">
        <v>533</v>
      </c>
      <c r="N508" s="217" t="s">
        <v>485</v>
      </c>
      <c r="O508" s="218"/>
      <c r="P508" s="37"/>
      <c r="Q508" s="87"/>
      <c r="R508" s="282"/>
      <c r="S508" s="94"/>
      <c r="T508" s="235"/>
    </row>
    <row r="509" spans="1:20" s="264" customFormat="1" ht="10.199999999999999" x14ac:dyDescent="0.2">
      <c r="A509" s="58">
        <f>A503+1</f>
        <v>82</v>
      </c>
      <c r="B509" s="70">
        <v>45093</v>
      </c>
      <c r="C509" s="70">
        <v>45976</v>
      </c>
      <c r="D509" s="110" t="s">
        <v>636</v>
      </c>
      <c r="E509" s="58" t="s">
        <v>300</v>
      </c>
      <c r="F509" s="58" t="s">
        <v>299</v>
      </c>
      <c r="G509" s="110" t="s">
        <v>481</v>
      </c>
      <c r="H509" s="110" t="s">
        <v>482</v>
      </c>
      <c r="I509" s="110" t="s">
        <v>483</v>
      </c>
      <c r="J509" s="123">
        <v>56.4</v>
      </c>
      <c r="K509" s="339">
        <f>S509*6</f>
        <v>11776.32</v>
      </c>
      <c r="L509" s="111">
        <f>S509*3</f>
        <v>5888.16</v>
      </c>
      <c r="M509" s="93" t="s">
        <v>10</v>
      </c>
      <c r="N509" s="67">
        <v>0</v>
      </c>
      <c r="O509" s="67">
        <v>0</v>
      </c>
      <c r="P509" s="67" t="s">
        <v>481</v>
      </c>
      <c r="Q509" s="58"/>
      <c r="R509" s="282"/>
      <c r="S509" s="94">
        <f>14.5*J509*1*(1+0.1+0.9)*1.2</f>
        <v>1962.7199999999998</v>
      </c>
      <c r="T509" s="235"/>
    </row>
    <row r="510" spans="1:20" s="264" customFormat="1" ht="10.199999999999999" x14ac:dyDescent="0.2">
      <c r="A510" s="71"/>
      <c r="B510" s="293"/>
      <c r="C510" s="92"/>
      <c r="D510" s="92"/>
      <c r="E510" s="293"/>
      <c r="F510" s="293"/>
      <c r="G510" s="92"/>
      <c r="H510" s="92"/>
      <c r="I510" s="92"/>
      <c r="J510" s="92"/>
      <c r="K510" s="120"/>
      <c r="L510" s="175"/>
      <c r="M510" s="116"/>
      <c r="N510" s="78"/>
      <c r="O510" s="78"/>
      <c r="P510" s="98"/>
      <c r="Q510" s="92"/>
      <c r="R510" s="282"/>
      <c r="S510" s="94"/>
      <c r="T510" s="235"/>
    </row>
    <row r="511" spans="1:20" s="264" customFormat="1" ht="10.199999999999999" x14ac:dyDescent="0.2">
      <c r="A511" s="71"/>
      <c r="B511" s="293"/>
      <c r="C511" s="92"/>
      <c r="D511" s="92"/>
      <c r="E511" s="293"/>
      <c r="F511" s="293"/>
      <c r="G511" s="92"/>
      <c r="H511" s="92"/>
      <c r="I511" s="92"/>
      <c r="J511" s="92"/>
      <c r="K511" s="120"/>
      <c r="L511" s="175"/>
      <c r="M511" s="93" t="s">
        <v>11</v>
      </c>
      <c r="N511" s="67">
        <v>0</v>
      </c>
      <c r="O511" s="67">
        <v>0</v>
      </c>
      <c r="P511" s="98"/>
      <c r="Q511" s="92"/>
      <c r="R511" s="282"/>
      <c r="S511" s="94"/>
      <c r="T511" s="235"/>
    </row>
    <row r="512" spans="1:20" s="264" customFormat="1" ht="10.199999999999999" x14ac:dyDescent="0.2">
      <c r="A512" s="71"/>
      <c r="B512" s="293"/>
      <c r="C512" s="92"/>
      <c r="D512" s="92"/>
      <c r="E512" s="293"/>
      <c r="F512" s="293"/>
      <c r="G512" s="92"/>
      <c r="H512" s="92"/>
      <c r="I512" s="92"/>
      <c r="J512" s="92"/>
      <c r="K512" s="120"/>
      <c r="L512" s="175"/>
      <c r="M512" s="116"/>
      <c r="N512" s="78"/>
      <c r="O512" s="78"/>
      <c r="P512" s="92"/>
      <c r="Q512" s="92"/>
      <c r="R512" s="282"/>
      <c r="S512" s="94"/>
      <c r="T512" s="235"/>
    </row>
    <row r="513" spans="1:20" s="264" customFormat="1" ht="10.199999999999999" x14ac:dyDescent="0.2">
      <c r="A513" s="71"/>
      <c r="B513" s="293"/>
      <c r="C513" s="92"/>
      <c r="D513" s="92"/>
      <c r="E513" s="293"/>
      <c r="F513" s="293"/>
      <c r="G513" s="92"/>
      <c r="H513" s="92"/>
      <c r="I513" s="92"/>
      <c r="J513" s="92"/>
      <c r="K513" s="120"/>
      <c r="L513" s="175"/>
      <c r="M513" s="93" t="s">
        <v>12</v>
      </c>
      <c r="N513" s="67">
        <v>0</v>
      </c>
      <c r="O513" s="67">
        <v>0</v>
      </c>
      <c r="P513" s="92"/>
      <c r="Q513" s="92"/>
      <c r="R513" s="282"/>
      <c r="S513" s="94"/>
      <c r="T513" s="235"/>
    </row>
    <row r="514" spans="1:20" s="264" customFormat="1" ht="10.199999999999999" x14ac:dyDescent="0.2">
      <c r="A514" s="87"/>
      <c r="B514" s="289"/>
      <c r="C514" s="78"/>
      <c r="D514" s="78"/>
      <c r="E514" s="293"/>
      <c r="F514" s="293"/>
      <c r="G514" s="92"/>
      <c r="H514" s="78"/>
      <c r="I514" s="78"/>
      <c r="J514" s="78"/>
      <c r="K514" s="122"/>
      <c r="L514" s="175"/>
      <c r="M514" s="116"/>
      <c r="N514" s="78"/>
      <c r="O514" s="78"/>
      <c r="P514" s="92"/>
      <c r="Q514" s="92"/>
      <c r="R514" s="282"/>
      <c r="S514" s="94"/>
      <c r="T514" s="235"/>
    </row>
    <row r="515" spans="1:20" s="264" customFormat="1" ht="10.199999999999999" x14ac:dyDescent="0.2">
      <c r="A515" s="58">
        <f>A509+1</f>
        <v>83</v>
      </c>
      <c r="B515" s="70">
        <v>44880</v>
      </c>
      <c r="C515" s="70">
        <v>45975</v>
      </c>
      <c r="D515" s="110" t="s">
        <v>568</v>
      </c>
      <c r="E515" s="293"/>
      <c r="F515" s="293"/>
      <c r="G515" s="92"/>
      <c r="H515" s="110" t="s">
        <v>569</v>
      </c>
      <c r="I515" s="110" t="s">
        <v>570</v>
      </c>
      <c r="J515" s="123">
        <v>84</v>
      </c>
      <c r="K515" s="339">
        <f>S515*6</f>
        <v>17539.199999999997</v>
      </c>
      <c r="L515" s="111">
        <f>S515*3</f>
        <v>8769.5999999999985</v>
      </c>
      <c r="M515" s="93" t="s">
        <v>13</v>
      </c>
      <c r="N515" s="67">
        <v>0</v>
      </c>
      <c r="O515" s="67">
        <v>0</v>
      </c>
      <c r="P515" s="92"/>
      <c r="Q515" s="92"/>
      <c r="R515" s="282"/>
      <c r="S515" s="94">
        <f>14.5*J515*1*(1+0.1+0.9)*1.2</f>
        <v>2923.2</v>
      </c>
      <c r="T515" s="235"/>
    </row>
    <row r="516" spans="1:20" s="264" customFormat="1" ht="10.199999999999999" x14ac:dyDescent="0.2">
      <c r="A516" s="71"/>
      <c r="B516" s="293"/>
      <c r="C516" s="92"/>
      <c r="D516" s="92"/>
      <c r="E516" s="293"/>
      <c r="F516" s="293"/>
      <c r="G516" s="92"/>
      <c r="H516" s="92"/>
      <c r="I516" s="92"/>
      <c r="J516" s="92"/>
      <c r="K516" s="120"/>
      <c r="L516" s="175"/>
      <c r="M516" s="116"/>
      <c r="N516" s="78"/>
      <c r="O516" s="78"/>
      <c r="P516" s="92"/>
      <c r="Q516" s="92"/>
      <c r="R516" s="282"/>
      <c r="S516" s="94"/>
      <c r="T516" s="235"/>
    </row>
    <row r="517" spans="1:20" s="264" customFormat="1" ht="10.199999999999999" x14ac:dyDescent="0.2">
      <c r="A517" s="71"/>
      <c r="B517" s="293"/>
      <c r="C517" s="92"/>
      <c r="D517" s="92"/>
      <c r="E517" s="293"/>
      <c r="F517" s="293"/>
      <c r="G517" s="92"/>
      <c r="H517" s="92"/>
      <c r="I517" s="92"/>
      <c r="J517" s="92"/>
      <c r="K517" s="120"/>
      <c r="L517" s="175"/>
      <c r="M517" s="93" t="s">
        <v>14</v>
      </c>
      <c r="N517" s="67">
        <v>0</v>
      </c>
      <c r="O517" s="67">
        <v>0</v>
      </c>
      <c r="P517" s="92"/>
      <c r="Q517" s="92"/>
      <c r="R517" s="282"/>
      <c r="S517" s="94"/>
      <c r="T517" s="235"/>
    </row>
    <row r="518" spans="1:20" s="264" customFormat="1" ht="10.199999999999999" x14ac:dyDescent="0.2">
      <c r="A518" s="71"/>
      <c r="B518" s="293"/>
      <c r="C518" s="92"/>
      <c r="D518" s="92"/>
      <c r="E518" s="293"/>
      <c r="F518" s="293"/>
      <c r="G518" s="92"/>
      <c r="H518" s="92"/>
      <c r="I518" s="92"/>
      <c r="J518" s="92"/>
      <c r="K518" s="120"/>
      <c r="L518" s="175"/>
      <c r="M518" s="116"/>
      <c r="N518" s="78"/>
      <c r="O518" s="78"/>
      <c r="P518" s="92"/>
      <c r="Q518" s="92"/>
      <c r="R518" s="282"/>
      <c r="S518" s="94"/>
      <c r="T518" s="235"/>
    </row>
    <row r="519" spans="1:20" s="264" customFormat="1" ht="10.199999999999999" x14ac:dyDescent="0.2">
      <c r="A519" s="71"/>
      <c r="B519" s="293"/>
      <c r="C519" s="92"/>
      <c r="D519" s="92"/>
      <c r="E519" s="293"/>
      <c r="F519" s="293"/>
      <c r="G519" s="92"/>
      <c r="H519" s="92"/>
      <c r="I519" s="92"/>
      <c r="J519" s="92"/>
      <c r="K519" s="120"/>
      <c r="L519" s="175"/>
      <c r="M519" s="93" t="s">
        <v>533</v>
      </c>
      <c r="N519" s="67">
        <v>539.1</v>
      </c>
      <c r="O519" s="67">
        <v>269.57</v>
      </c>
      <c r="P519" s="92"/>
      <c r="Q519" s="92"/>
      <c r="R519" s="282"/>
      <c r="S519" s="94"/>
      <c r="T519" s="235"/>
    </row>
    <row r="520" spans="1:20" s="264" customFormat="1" ht="10.199999999999999" x14ac:dyDescent="0.2">
      <c r="A520" s="87"/>
      <c r="B520" s="289"/>
      <c r="C520" s="78"/>
      <c r="D520" s="78"/>
      <c r="E520" s="289"/>
      <c r="F520" s="289"/>
      <c r="G520" s="78"/>
      <c r="H520" s="78"/>
      <c r="I520" s="78"/>
      <c r="J520" s="78"/>
      <c r="K520" s="122"/>
      <c r="L520" s="175"/>
      <c r="M520" s="116"/>
      <c r="N520" s="78"/>
      <c r="O520" s="78"/>
      <c r="P520" s="78"/>
      <c r="Q520" s="78"/>
      <c r="R520" s="282"/>
      <c r="S520" s="94"/>
      <c r="T520" s="235"/>
    </row>
    <row r="521" spans="1:20" s="264" customFormat="1" ht="10.199999999999999" x14ac:dyDescent="0.2">
      <c r="A521" s="58">
        <f>A515+1</f>
        <v>84</v>
      </c>
      <c r="B521" s="88">
        <v>45093</v>
      </c>
      <c r="C521" s="88">
        <v>46157</v>
      </c>
      <c r="D521" s="90" t="s">
        <v>654</v>
      </c>
      <c r="E521" s="89" t="s">
        <v>300</v>
      </c>
      <c r="F521" s="89" t="s">
        <v>299</v>
      </c>
      <c r="G521" s="90" t="s">
        <v>511</v>
      </c>
      <c r="H521" s="90" t="s">
        <v>512</v>
      </c>
      <c r="I521" s="90" t="s">
        <v>513</v>
      </c>
      <c r="J521" s="91">
        <v>120.2</v>
      </c>
      <c r="K521" s="111">
        <f>S521*6</f>
        <v>25097.760000000002</v>
      </c>
      <c r="L521" s="111">
        <f>S521*3</f>
        <v>12548.880000000001</v>
      </c>
      <c r="M521" s="49" t="s">
        <v>10</v>
      </c>
      <c r="N521" s="34">
        <v>0</v>
      </c>
      <c r="O521" s="34">
        <v>0</v>
      </c>
      <c r="P521" s="111" t="s">
        <v>511</v>
      </c>
      <c r="Q521" s="89"/>
      <c r="R521" s="282"/>
      <c r="S521" s="94">
        <f>14.5*J521*1*(1+0.1+0.9)*1.2</f>
        <v>4182.96</v>
      </c>
      <c r="T521" s="235"/>
    </row>
    <row r="522" spans="1:20" s="264" customFormat="1" ht="20.399999999999999" x14ac:dyDescent="0.2">
      <c r="A522" s="71"/>
      <c r="B522" s="193"/>
      <c r="C522" s="89"/>
      <c r="D522" s="89"/>
      <c r="E522" s="193"/>
      <c r="F522" s="193"/>
      <c r="G522" s="89"/>
      <c r="H522" s="89"/>
      <c r="I522" s="89"/>
      <c r="J522" s="89"/>
      <c r="K522" s="111"/>
      <c r="L522" s="111"/>
      <c r="M522" s="49" t="s">
        <v>11</v>
      </c>
      <c r="N522" s="34">
        <v>0</v>
      </c>
      <c r="O522" s="34">
        <v>0</v>
      </c>
      <c r="P522" s="111"/>
      <c r="Q522" s="89"/>
      <c r="R522" s="282"/>
      <c r="S522" s="94"/>
      <c r="T522" s="235"/>
    </row>
    <row r="523" spans="1:20" s="264" customFormat="1" ht="10.199999999999999" x14ac:dyDescent="0.2">
      <c r="A523" s="71"/>
      <c r="B523" s="193"/>
      <c r="C523" s="89"/>
      <c r="D523" s="89"/>
      <c r="E523" s="193"/>
      <c r="F523" s="193"/>
      <c r="G523" s="89"/>
      <c r="H523" s="89"/>
      <c r="I523" s="89"/>
      <c r="J523" s="89"/>
      <c r="K523" s="111"/>
      <c r="L523" s="111"/>
      <c r="M523" s="49" t="s">
        <v>12</v>
      </c>
      <c r="N523" s="34">
        <v>0</v>
      </c>
      <c r="O523" s="34">
        <v>0</v>
      </c>
      <c r="P523" s="111"/>
      <c r="Q523" s="89"/>
      <c r="R523" s="282"/>
      <c r="S523" s="94"/>
      <c r="T523" s="235"/>
    </row>
    <row r="524" spans="1:20" s="264" customFormat="1" ht="10.199999999999999" x14ac:dyDescent="0.2">
      <c r="A524" s="71"/>
      <c r="B524" s="193"/>
      <c r="C524" s="89"/>
      <c r="D524" s="89"/>
      <c r="E524" s="193"/>
      <c r="F524" s="193"/>
      <c r="G524" s="89"/>
      <c r="H524" s="89"/>
      <c r="I524" s="89"/>
      <c r="J524" s="89"/>
      <c r="K524" s="111"/>
      <c r="L524" s="111"/>
      <c r="M524" s="49" t="s">
        <v>13</v>
      </c>
      <c r="N524" s="34">
        <v>0</v>
      </c>
      <c r="O524" s="34">
        <v>0</v>
      </c>
      <c r="P524" s="89"/>
      <c r="Q524" s="89"/>
      <c r="R524" s="282"/>
      <c r="S524" s="94"/>
      <c r="T524" s="235"/>
    </row>
    <row r="525" spans="1:20" s="264" customFormat="1" ht="10.199999999999999" x14ac:dyDescent="0.2">
      <c r="A525" s="71"/>
      <c r="B525" s="193"/>
      <c r="C525" s="89"/>
      <c r="D525" s="89"/>
      <c r="E525" s="193"/>
      <c r="F525" s="193"/>
      <c r="G525" s="89"/>
      <c r="H525" s="89"/>
      <c r="I525" s="89"/>
      <c r="J525" s="89"/>
      <c r="K525" s="111"/>
      <c r="L525" s="111"/>
      <c r="M525" s="49" t="s">
        <v>14</v>
      </c>
      <c r="N525" s="34">
        <v>0</v>
      </c>
      <c r="O525" s="34">
        <v>0</v>
      </c>
      <c r="P525" s="89"/>
      <c r="Q525" s="89"/>
      <c r="R525" s="282"/>
      <c r="S525" s="94"/>
      <c r="T525" s="235"/>
    </row>
    <row r="526" spans="1:20" s="264" customFormat="1" ht="10.199999999999999" x14ac:dyDescent="0.2">
      <c r="A526" s="87"/>
      <c r="B526" s="193"/>
      <c r="C526" s="89"/>
      <c r="D526" s="89"/>
      <c r="E526" s="193"/>
      <c r="F526" s="193"/>
      <c r="G526" s="89"/>
      <c r="H526" s="89"/>
      <c r="I526" s="89"/>
      <c r="J526" s="89"/>
      <c r="K526" s="111"/>
      <c r="L526" s="111"/>
      <c r="M526" s="49" t="s">
        <v>533</v>
      </c>
      <c r="N526" s="34">
        <v>304.8</v>
      </c>
      <c r="O526" s="34">
        <v>304.8</v>
      </c>
      <c r="P526" s="89"/>
      <c r="Q526" s="89"/>
      <c r="R526" s="282"/>
      <c r="S526" s="94"/>
      <c r="T526" s="235"/>
    </row>
    <row r="527" spans="1:20" s="264" customFormat="1" ht="10.199999999999999" x14ac:dyDescent="0.2">
      <c r="A527" s="89">
        <f>A521+1</f>
        <v>85</v>
      </c>
      <c r="B527" s="88">
        <v>45005</v>
      </c>
      <c r="C527" s="88">
        <v>45260</v>
      </c>
      <c r="D527" s="90" t="s">
        <v>583</v>
      </c>
      <c r="E527" s="89" t="s">
        <v>300</v>
      </c>
      <c r="F527" s="89" t="s">
        <v>299</v>
      </c>
      <c r="G527" s="90" t="s">
        <v>514</v>
      </c>
      <c r="H527" s="90" t="s">
        <v>515</v>
      </c>
      <c r="I527" s="90" t="s">
        <v>518</v>
      </c>
      <c r="J527" s="91">
        <v>144.1</v>
      </c>
      <c r="K527" s="111">
        <f>S527*6</f>
        <v>5415.8544000000002</v>
      </c>
      <c r="L527" s="111">
        <f>S527*3</f>
        <v>2707.9272000000001</v>
      </c>
      <c r="M527" s="49" t="s">
        <v>10</v>
      </c>
      <c r="N527" s="34">
        <v>0</v>
      </c>
      <c r="O527" s="34">
        <v>0</v>
      </c>
      <c r="P527" s="111" t="s">
        <v>514</v>
      </c>
      <c r="Q527" s="89"/>
      <c r="R527" s="282"/>
      <c r="S527" s="94">
        <f>14.5*J527*1.2*(1+0.1+0.7)*0.2</f>
        <v>902.64239999999995</v>
      </c>
      <c r="T527" s="235"/>
    </row>
    <row r="528" spans="1:20" s="264" customFormat="1" ht="20.399999999999999" x14ac:dyDescent="0.2">
      <c r="A528" s="89"/>
      <c r="B528" s="193"/>
      <c r="C528" s="89"/>
      <c r="D528" s="89"/>
      <c r="E528" s="193"/>
      <c r="F528" s="193"/>
      <c r="G528" s="89"/>
      <c r="H528" s="89"/>
      <c r="I528" s="89"/>
      <c r="J528" s="89"/>
      <c r="K528" s="111"/>
      <c r="L528" s="111"/>
      <c r="M528" s="49" t="s">
        <v>11</v>
      </c>
      <c r="N528" s="34">
        <v>0</v>
      </c>
      <c r="O528" s="34">
        <v>0</v>
      </c>
      <c r="P528" s="111"/>
      <c r="Q528" s="89"/>
      <c r="R528" s="282"/>
      <c r="S528" s="94"/>
      <c r="T528" s="235"/>
    </row>
    <row r="529" spans="1:20" s="264" customFormat="1" ht="10.199999999999999" x14ac:dyDescent="0.2">
      <c r="A529" s="89"/>
      <c r="B529" s="193"/>
      <c r="C529" s="89"/>
      <c r="D529" s="89"/>
      <c r="E529" s="193"/>
      <c r="F529" s="193"/>
      <c r="G529" s="89"/>
      <c r="H529" s="89" t="s">
        <v>516</v>
      </c>
      <c r="I529" s="89"/>
      <c r="J529" s="89">
        <v>74.3</v>
      </c>
      <c r="K529" s="111"/>
      <c r="L529" s="111"/>
      <c r="M529" s="49" t="s">
        <v>12</v>
      </c>
      <c r="N529" s="34">
        <v>0</v>
      </c>
      <c r="O529" s="34">
        <v>0</v>
      </c>
      <c r="P529" s="111"/>
      <c r="Q529" s="89"/>
      <c r="R529" s="282"/>
      <c r="S529" s="94">
        <f>14.5*J529*1*(1+0.1+0.5)*0.2</f>
        <v>344.75200000000001</v>
      </c>
      <c r="T529" s="235"/>
    </row>
    <row r="530" spans="1:20" s="264" customFormat="1" ht="10.199999999999999" x14ac:dyDescent="0.2">
      <c r="A530" s="89"/>
      <c r="B530" s="193"/>
      <c r="C530" s="89"/>
      <c r="D530" s="89"/>
      <c r="E530" s="193"/>
      <c r="F530" s="193"/>
      <c r="G530" s="89"/>
      <c r="H530" s="89"/>
      <c r="I530" s="89"/>
      <c r="J530" s="89"/>
      <c r="K530" s="111"/>
      <c r="L530" s="111"/>
      <c r="M530" s="49" t="s">
        <v>13</v>
      </c>
      <c r="N530" s="34">
        <v>0</v>
      </c>
      <c r="O530" s="34">
        <v>0</v>
      </c>
      <c r="P530" s="89"/>
      <c r="Q530" s="89"/>
      <c r="R530" s="282"/>
      <c r="S530" s="94"/>
      <c r="T530" s="235"/>
    </row>
    <row r="531" spans="1:20" s="264" customFormat="1" ht="10.199999999999999" x14ac:dyDescent="0.2">
      <c r="A531" s="89"/>
      <c r="B531" s="193"/>
      <c r="C531" s="89"/>
      <c r="D531" s="89"/>
      <c r="E531" s="193"/>
      <c r="F531" s="193"/>
      <c r="G531" s="89"/>
      <c r="H531" s="89" t="s">
        <v>517</v>
      </c>
      <c r="I531" s="89"/>
      <c r="J531" s="89">
        <v>91.5</v>
      </c>
      <c r="K531" s="111"/>
      <c r="L531" s="111"/>
      <c r="M531" s="49" t="s">
        <v>14</v>
      </c>
      <c r="N531" s="34">
        <v>0</v>
      </c>
      <c r="O531" s="34">
        <v>0</v>
      </c>
      <c r="P531" s="89"/>
      <c r="Q531" s="89"/>
      <c r="R531" s="282"/>
      <c r="S531" s="56"/>
      <c r="T531" s="235"/>
    </row>
    <row r="532" spans="1:20" s="264" customFormat="1" ht="10.199999999999999" x14ac:dyDescent="0.2">
      <c r="A532" s="89"/>
      <c r="B532" s="193"/>
      <c r="C532" s="89"/>
      <c r="D532" s="89"/>
      <c r="E532" s="193"/>
      <c r="F532" s="193"/>
      <c r="G532" s="89"/>
      <c r="H532" s="89"/>
      <c r="I532" s="89"/>
      <c r="J532" s="89"/>
      <c r="K532" s="111"/>
      <c r="L532" s="111"/>
      <c r="M532" s="49" t="s">
        <v>533</v>
      </c>
      <c r="N532" s="34">
        <v>913.8</v>
      </c>
      <c r="O532" s="34">
        <v>595.19000000000005</v>
      </c>
      <c r="P532" s="89"/>
      <c r="Q532" s="89"/>
      <c r="R532" s="282"/>
      <c r="S532" s="56">
        <f>14.5*J529*1*(1+0.1+0.5)*0.2</f>
        <v>344.75200000000001</v>
      </c>
      <c r="T532" s="235"/>
    </row>
    <row r="533" spans="1:20" s="264" customFormat="1" ht="10.199999999999999" x14ac:dyDescent="0.2">
      <c r="A533" s="89">
        <f>A527+1</f>
        <v>86</v>
      </c>
      <c r="B533" s="88">
        <v>44791</v>
      </c>
      <c r="C533" s="88">
        <v>46585</v>
      </c>
      <c r="D533" s="89" t="s">
        <v>523</v>
      </c>
      <c r="E533" s="89" t="s">
        <v>300</v>
      </c>
      <c r="F533" s="89" t="s">
        <v>299</v>
      </c>
      <c r="G533" s="89" t="s">
        <v>524</v>
      </c>
      <c r="H533" s="89" t="s">
        <v>525</v>
      </c>
      <c r="I533" s="89" t="s">
        <v>526</v>
      </c>
      <c r="J533" s="89">
        <v>17.350000000000001</v>
      </c>
      <c r="K533" s="111">
        <f>S533*6</f>
        <v>350.0526220432813</v>
      </c>
      <c r="L533" s="111">
        <f>S533*3</f>
        <v>175.02631102164065</v>
      </c>
      <c r="M533" s="49" t="s">
        <v>10</v>
      </c>
      <c r="N533" s="34">
        <v>0</v>
      </c>
      <c r="O533" s="34">
        <v>0</v>
      </c>
      <c r="P533" s="111" t="s">
        <v>524</v>
      </c>
      <c r="Q533" s="89"/>
      <c r="R533" s="282"/>
      <c r="S533" s="94">
        <f>14.5*J533*1*(1+0.1+0.9)*1.2*12/1987*16</f>
        <v>58.342103673880217</v>
      </c>
      <c r="T533" s="235"/>
    </row>
    <row r="534" spans="1:20" s="264" customFormat="1" ht="20.399999999999999" x14ac:dyDescent="0.2">
      <c r="A534" s="89"/>
      <c r="B534" s="193"/>
      <c r="C534" s="89"/>
      <c r="D534" s="193"/>
      <c r="E534" s="89"/>
      <c r="F534" s="193"/>
      <c r="G534" s="193"/>
      <c r="H534" s="193"/>
      <c r="I534" s="193"/>
      <c r="J534" s="193"/>
      <c r="K534" s="111"/>
      <c r="L534" s="111"/>
      <c r="M534" s="49" t="s">
        <v>11</v>
      </c>
      <c r="N534" s="34">
        <v>0</v>
      </c>
      <c r="O534" s="34">
        <v>0</v>
      </c>
      <c r="P534" s="111"/>
      <c r="Q534" s="89"/>
      <c r="R534" s="282"/>
      <c r="S534" s="94"/>
      <c r="T534" s="235"/>
    </row>
    <row r="535" spans="1:20" s="264" customFormat="1" ht="10.199999999999999" x14ac:dyDescent="0.2">
      <c r="A535" s="89"/>
      <c r="B535" s="193"/>
      <c r="C535" s="89"/>
      <c r="D535" s="193"/>
      <c r="E535" s="89"/>
      <c r="F535" s="193"/>
      <c r="G535" s="193"/>
      <c r="H535" s="193"/>
      <c r="I535" s="193"/>
      <c r="J535" s="193"/>
      <c r="K535" s="111"/>
      <c r="L535" s="111"/>
      <c r="M535" s="49" t="s">
        <v>12</v>
      </c>
      <c r="N535" s="34">
        <v>0</v>
      </c>
      <c r="O535" s="34">
        <v>0</v>
      </c>
      <c r="P535" s="111"/>
      <c r="Q535" s="89"/>
      <c r="R535" s="282"/>
      <c r="S535" s="94"/>
      <c r="T535" s="235"/>
    </row>
    <row r="536" spans="1:20" s="264" customFormat="1" ht="10.199999999999999" x14ac:dyDescent="0.2">
      <c r="A536" s="89"/>
      <c r="B536" s="193"/>
      <c r="C536" s="89"/>
      <c r="D536" s="193"/>
      <c r="E536" s="89"/>
      <c r="F536" s="193"/>
      <c r="G536" s="193"/>
      <c r="H536" s="193"/>
      <c r="I536" s="193"/>
      <c r="J536" s="193"/>
      <c r="K536" s="111"/>
      <c r="L536" s="111"/>
      <c r="M536" s="49" t="s">
        <v>13</v>
      </c>
      <c r="N536" s="34">
        <v>0</v>
      </c>
      <c r="O536" s="34">
        <v>0</v>
      </c>
      <c r="P536" s="111"/>
      <c r="Q536" s="89"/>
      <c r="R536" s="282"/>
      <c r="S536" s="94"/>
      <c r="T536" s="235"/>
    </row>
    <row r="537" spans="1:20" s="264" customFormat="1" ht="10.199999999999999" x14ac:dyDescent="0.2">
      <c r="A537" s="89"/>
      <c r="B537" s="193"/>
      <c r="C537" s="89"/>
      <c r="D537" s="193"/>
      <c r="E537" s="89"/>
      <c r="F537" s="193"/>
      <c r="G537" s="193"/>
      <c r="H537" s="193"/>
      <c r="I537" s="193"/>
      <c r="J537" s="193"/>
      <c r="K537" s="111"/>
      <c r="L537" s="111"/>
      <c r="M537" s="49" t="s">
        <v>14</v>
      </c>
      <c r="N537" s="34">
        <v>0</v>
      </c>
      <c r="O537" s="34">
        <v>0</v>
      </c>
      <c r="P537" s="111"/>
      <c r="Q537" s="89"/>
      <c r="R537" s="282"/>
      <c r="S537" s="94"/>
      <c r="T537" s="235"/>
    </row>
    <row r="538" spans="1:20" s="264" customFormat="1" ht="10.199999999999999" x14ac:dyDescent="0.2">
      <c r="A538" s="89"/>
      <c r="B538" s="193"/>
      <c r="C538" s="89"/>
      <c r="D538" s="193"/>
      <c r="E538" s="89"/>
      <c r="F538" s="193"/>
      <c r="G538" s="193"/>
      <c r="H538" s="193"/>
      <c r="I538" s="193"/>
      <c r="J538" s="193"/>
      <c r="K538" s="111"/>
      <c r="L538" s="111"/>
      <c r="M538" s="49" t="s">
        <v>533</v>
      </c>
      <c r="N538" s="34">
        <v>33.32</v>
      </c>
      <c r="O538" s="34">
        <v>33.32</v>
      </c>
      <c r="P538" s="111"/>
      <c r="Q538" s="89"/>
      <c r="R538" s="282"/>
      <c r="S538" s="94"/>
      <c r="T538" s="235"/>
    </row>
    <row r="539" spans="1:20" s="264" customFormat="1" ht="10.199999999999999" x14ac:dyDescent="0.2">
      <c r="A539" s="58">
        <f>A527+1</f>
        <v>86</v>
      </c>
      <c r="B539" s="70">
        <v>44791</v>
      </c>
      <c r="C539" s="70">
        <v>45886</v>
      </c>
      <c r="D539" s="58" t="s">
        <v>527</v>
      </c>
      <c r="E539" s="89" t="s">
        <v>300</v>
      </c>
      <c r="F539" s="58" t="s">
        <v>299</v>
      </c>
      <c r="G539" s="58" t="s">
        <v>79</v>
      </c>
      <c r="H539" s="58" t="s">
        <v>347</v>
      </c>
      <c r="I539" s="58" t="s">
        <v>528</v>
      </c>
      <c r="J539" s="58">
        <v>28.25</v>
      </c>
      <c r="K539" s="111">
        <f>S539*6</f>
        <v>569.97040764972314</v>
      </c>
      <c r="L539" s="111">
        <f>S539*3</f>
        <v>284.98520382486157</v>
      </c>
      <c r="M539" s="11" t="s">
        <v>10</v>
      </c>
      <c r="N539" s="347">
        <v>0</v>
      </c>
      <c r="O539" s="347">
        <v>0</v>
      </c>
      <c r="P539" s="67" t="s">
        <v>79</v>
      </c>
      <c r="Q539" s="58"/>
      <c r="R539" s="282"/>
      <c r="S539" s="94">
        <f>14.5*J539*1*(1+0.1+0.9)*1.2*12/1987*16</f>
        <v>94.995067941620519</v>
      </c>
      <c r="T539" s="235"/>
    </row>
    <row r="540" spans="1:20" s="264" customFormat="1" ht="20.399999999999999" x14ac:dyDescent="0.2">
      <c r="A540" s="71"/>
      <c r="B540" s="293"/>
      <c r="C540" s="92"/>
      <c r="D540" s="293"/>
      <c r="E540" s="89"/>
      <c r="F540" s="293"/>
      <c r="G540" s="293"/>
      <c r="H540" s="293"/>
      <c r="I540" s="293"/>
      <c r="J540" s="293"/>
      <c r="K540" s="175"/>
      <c r="L540" s="175"/>
      <c r="M540" s="49" t="s">
        <v>11</v>
      </c>
      <c r="N540" s="34">
        <v>0</v>
      </c>
      <c r="O540" s="34">
        <v>0</v>
      </c>
      <c r="P540" s="98"/>
      <c r="Q540" s="71"/>
      <c r="R540" s="282"/>
      <c r="S540" s="94"/>
      <c r="T540" s="235"/>
    </row>
    <row r="541" spans="1:20" s="264" customFormat="1" ht="10.199999999999999" x14ac:dyDescent="0.2">
      <c r="A541" s="71"/>
      <c r="B541" s="293"/>
      <c r="C541" s="92"/>
      <c r="D541" s="293"/>
      <c r="E541" s="89"/>
      <c r="F541" s="293"/>
      <c r="G541" s="293"/>
      <c r="H541" s="293"/>
      <c r="I541" s="293"/>
      <c r="J541" s="293"/>
      <c r="K541" s="175"/>
      <c r="L541" s="175"/>
      <c r="M541" s="49" t="s">
        <v>12</v>
      </c>
      <c r="N541" s="34">
        <v>0</v>
      </c>
      <c r="O541" s="34">
        <v>0</v>
      </c>
      <c r="P541" s="98"/>
      <c r="Q541" s="71"/>
      <c r="R541" s="282"/>
      <c r="S541" s="94"/>
      <c r="T541" s="235"/>
    </row>
    <row r="542" spans="1:20" s="264" customFormat="1" ht="10.199999999999999" x14ac:dyDescent="0.2">
      <c r="A542" s="71"/>
      <c r="B542" s="293"/>
      <c r="C542" s="92"/>
      <c r="D542" s="293"/>
      <c r="E542" s="89"/>
      <c r="F542" s="293"/>
      <c r="G542" s="293"/>
      <c r="H542" s="293"/>
      <c r="I542" s="293"/>
      <c r="J542" s="293"/>
      <c r="K542" s="175"/>
      <c r="L542" s="175"/>
      <c r="M542" s="49" t="s">
        <v>13</v>
      </c>
      <c r="N542" s="34">
        <v>0</v>
      </c>
      <c r="O542" s="34">
        <v>0</v>
      </c>
      <c r="P542" s="98"/>
      <c r="Q542" s="71"/>
      <c r="R542" s="282"/>
      <c r="S542" s="94"/>
      <c r="T542" s="235"/>
    </row>
    <row r="543" spans="1:20" s="264" customFormat="1" ht="10.199999999999999" x14ac:dyDescent="0.2">
      <c r="A543" s="71"/>
      <c r="B543" s="293"/>
      <c r="C543" s="92"/>
      <c r="D543" s="293"/>
      <c r="E543" s="89"/>
      <c r="F543" s="293"/>
      <c r="G543" s="293"/>
      <c r="H543" s="293"/>
      <c r="I543" s="293"/>
      <c r="J543" s="293"/>
      <c r="K543" s="175"/>
      <c r="L543" s="175"/>
      <c r="M543" s="49" t="s">
        <v>14</v>
      </c>
      <c r="N543" s="34">
        <v>0</v>
      </c>
      <c r="O543" s="34">
        <v>0</v>
      </c>
      <c r="P543" s="98"/>
      <c r="Q543" s="71"/>
      <c r="R543" s="282"/>
      <c r="S543" s="94"/>
      <c r="T543" s="235"/>
    </row>
    <row r="544" spans="1:20" s="264" customFormat="1" ht="10.199999999999999" x14ac:dyDescent="0.2">
      <c r="A544" s="87"/>
      <c r="B544" s="289"/>
      <c r="C544" s="78"/>
      <c r="D544" s="289"/>
      <c r="E544" s="89"/>
      <c r="F544" s="289"/>
      <c r="G544" s="289"/>
      <c r="H544" s="289"/>
      <c r="I544" s="289"/>
      <c r="J544" s="289"/>
      <c r="K544" s="175"/>
      <c r="L544" s="175"/>
      <c r="M544" s="49" t="s">
        <v>533</v>
      </c>
      <c r="N544" s="35">
        <v>54.26</v>
      </c>
      <c r="O544" s="35">
        <v>54.26</v>
      </c>
      <c r="P544" s="99"/>
      <c r="Q544" s="87"/>
      <c r="R544" s="282"/>
      <c r="S544" s="94"/>
      <c r="T544" s="235"/>
    </row>
    <row r="545" spans="1:20" s="264" customFormat="1" ht="10.199999999999999" x14ac:dyDescent="0.2">
      <c r="A545" s="58">
        <f>A533+1</f>
        <v>87</v>
      </c>
      <c r="B545" s="70">
        <v>44927</v>
      </c>
      <c r="C545" s="70">
        <v>45260</v>
      </c>
      <c r="D545" s="58" t="s">
        <v>579</v>
      </c>
      <c r="E545" s="89" t="s">
        <v>300</v>
      </c>
      <c r="F545" s="58" t="s">
        <v>299</v>
      </c>
      <c r="G545" s="58" t="s">
        <v>580</v>
      </c>
      <c r="H545" s="58" t="s">
        <v>581</v>
      </c>
      <c r="I545" s="58" t="s">
        <v>582</v>
      </c>
      <c r="J545" s="58">
        <v>58.4</v>
      </c>
      <c r="K545" s="111">
        <f>S545*6</f>
        <v>711.31200000000001</v>
      </c>
      <c r="L545" s="111">
        <f>S545*3</f>
        <v>355.65600000000001</v>
      </c>
      <c r="M545" s="11" t="s">
        <v>10</v>
      </c>
      <c r="N545" s="347">
        <v>0</v>
      </c>
      <c r="O545" s="347">
        <v>0</v>
      </c>
      <c r="P545" s="67" t="s">
        <v>580</v>
      </c>
      <c r="Q545" s="58"/>
      <c r="R545" s="282"/>
      <c r="S545" s="94">
        <f>14.5*J545*1*(1+0.1+0.3)*0.1</f>
        <v>118.55200000000001</v>
      </c>
      <c r="T545" s="235"/>
    </row>
    <row r="546" spans="1:20" s="264" customFormat="1" ht="20.399999999999999" x14ac:dyDescent="0.2">
      <c r="A546" s="71"/>
      <c r="B546" s="293"/>
      <c r="C546" s="92"/>
      <c r="D546" s="293"/>
      <c r="E546" s="89"/>
      <c r="F546" s="293"/>
      <c r="G546" s="293"/>
      <c r="H546" s="293"/>
      <c r="I546" s="293"/>
      <c r="J546" s="293"/>
      <c r="K546" s="175"/>
      <c r="L546" s="175"/>
      <c r="M546" s="49" t="s">
        <v>11</v>
      </c>
      <c r="N546" s="34">
        <v>0</v>
      </c>
      <c r="O546" s="34">
        <v>0</v>
      </c>
      <c r="P546" s="98"/>
      <c r="Q546" s="71"/>
      <c r="R546" s="282"/>
      <c r="S546" s="94"/>
      <c r="T546" s="235"/>
    </row>
    <row r="547" spans="1:20" s="264" customFormat="1" ht="10.199999999999999" x14ac:dyDescent="0.2">
      <c r="A547" s="71"/>
      <c r="B547" s="293"/>
      <c r="C547" s="92"/>
      <c r="D547" s="293"/>
      <c r="E547" s="89"/>
      <c r="F547" s="293"/>
      <c r="G547" s="293"/>
      <c r="H547" s="293"/>
      <c r="I547" s="293"/>
      <c r="J547" s="293"/>
      <c r="K547" s="175"/>
      <c r="L547" s="175"/>
      <c r="M547" s="49" t="s">
        <v>12</v>
      </c>
      <c r="N547" s="34">
        <v>0</v>
      </c>
      <c r="O547" s="34">
        <v>0</v>
      </c>
      <c r="P547" s="98"/>
      <c r="Q547" s="71"/>
      <c r="R547" s="282"/>
      <c r="S547" s="94"/>
      <c r="T547" s="235"/>
    </row>
    <row r="548" spans="1:20" s="264" customFormat="1" ht="10.199999999999999" x14ac:dyDescent="0.2">
      <c r="A548" s="71"/>
      <c r="B548" s="293"/>
      <c r="C548" s="92"/>
      <c r="D548" s="293"/>
      <c r="E548" s="89"/>
      <c r="F548" s="293"/>
      <c r="G548" s="293"/>
      <c r="H548" s="293"/>
      <c r="I548" s="293"/>
      <c r="J548" s="293"/>
      <c r="K548" s="175"/>
      <c r="L548" s="175"/>
      <c r="M548" s="49" t="s">
        <v>13</v>
      </c>
      <c r="N548" s="34">
        <v>0</v>
      </c>
      <c r="O548" s="34">
        <v>0</v>
      </c>
      <c r="P548" s="98"/>
      <c r="Q548" s="71"/>
      <c r="R548" s="282"/>
      <c r="S548" s="94"/>
      <c r="T548" s="235"/>
    </row>
    <row r="549" spans="1:20" s="264" customFormat="1" ht="10.199999999999999" x14ac:dyDescent="0.2">
      <c r="A549" s="71"/>
      <c r="B549" s="293"/>
      <c r="C549" s="92"/>
      <c r="D549" s="293"/>
      <c r="E549" s="89"/>
      <c r="F549" s="293"/>
      <c r="G549" s="293"/>
      <c r="H549" s="293"/>
      <c r="I549" s="293"/>
      <c r="J549" s="293"/>
      <c r="K549" s="175"/>
      <c r="L549" s="175"/>
      <c r="M549" s="49" t="s">
        <v>14</v>
      </c>
      <c r="N549" s="34">
        <v>0</v>
      </c>
      <c r="O549" s="34">
        <v>0</v>
      </c>
      <c r="P549" s="98"/>
      <c r="Q549" s="71"/>
      <c r="R549" s="282"/>
      <c r="S549" s="94"/>
      <c r="T549" s="235"/>
    </row>
    <row r="550" spans="1:20" s="264" customFormat="1" ht="10.199999999999999" x14ac:dyDescent="0.2">
      <c r="A550" s="87"/>
      <c r="B550" s="289"/>
      <c r="C550" s="78"/>
      <c r="D550" s="289"/>
      <c r="E550" s="89"/>
      <c r="F550" s="289"/>
      <c r="G550" s="289"/>
      <c r="H550" s="289"/>
      <c r="I550" s="289"/>
      <c r="J550" s="289"/>
      <c r="K550" s="175"/>
      <c r="L550" s="175"/>
      <c r="M550" s="49" t="s">
        <v>533</v>
      </c>
      <c r="N550" s="35">
        <v>677.4</v>
      </c>
      <c r="O550" s="35">
        <v>114.45</v>
      </c>
      <c r="P550" s="99"/>
      <c r="Q550" s="87"/>
      <c r="R550" s="282"/>
      <c r="S550" s="94"/>
      <c r="T550" s="235"/>
    </row>
    <row r="551" spans="1:20" s="264" customFormat="1" ht="10.199999999999999" x14ac:dyDescent="0.2">
      <c r="A551" s="58">
        <f>A545+1</f>
        <v>88</v>
      </c>
      <c r="B551" s="70">
        <v>44924</v>
      </c>
      <c r="C551" s="70">
        <v>45260</v>
      </c>
      <c r="D551" s="58" t="s">
        <v>611</v>
      </c>
      <c r="E551" s="89" t="s">
        <v>612</v>
      </c>
      <c r="F551" s="58" t="s">
        <v>299</v>
      </c>
      <c r="G551" s="58" t="s">
        <v>613</v>
      </c>
      <c r="H551" s="58" t="s">
        <v>614</v>
      </c>
      <c r="I551" s="58" t="s">
        <v>615</v>
      </c>
      <c r="J551" s="58">
        <v>130.9</v>
      </c>
      <c r="K551" s="111">
        <f>S551*6</f>
        <v>8472.8952000000027</v>
      </c>
      <c r="L551" s="111">
        <f>S551*3</f>
        <v>4236.4476000000013</v>
      </c>
      <c r="M551" s="11" t="s">
        <v>10</v>
      </c>
      <c r="N551" s="59" t="s">
        <v>457</v>
      </c>
      <c r="O551" s="60"/>
      <c r="P551" s="67" t="s">
        <v>613</v>
      </c>
      <c r="Q551" s="58" t="s">
        <v>619</v>
      </c>
      <c r="R551" s="282"/>
      <c r="S551" s="94">
        <f>14.5*J551*1.2*(1+1.2+0.9)*0.2</f>
        <v>1412.1492000000003</v>
      </c>
      <c r="T551" s="235"/>
    </row>
    <row r="552" spans="1:20" s="264" customFormat="1" ht="20.399999999999999" x14ac:dyDescent="0.2">
      <c r="A552" s="71"/>
      <c r="B552" s="293"/>
      <c r="C552" s="92"/>
      <c r="D552" s="293"/>
      <c r="E552" s="89"/>
      <c r="F552" s="293"/>
      <c r="G552" s="293"/>
      <c r="H552" s="293"/>
      <c r="I552" s="293"/>
      <c r="J552" s="293"/>
      <c r="K552" s="175"/>
      <c r="L552" s="175"/>
      <c r="M552" s="49" t="s">
        <v>11</v>
      </c>
      <c r="N552" s="61"/>
      <c r="O552" s="62"/>
      <c r="P552" s="98"/>
      <c r="Q552" s="71"/>
      <c r="R552" s="282"/>
      <c r="S552" s="94"/>
      <c r="T552" s="235"/>
    </row>
    <row r="553" spans="1:20" s="264" customFormat="1" ht="10.199999999999999" x14ac:dyDescent="0.2">
      <c r="A553" s="71"/>
      <c r="B553" s="293"/>
      <c r="C553" s="92"/>
      <c r="D553" s="293"/>
      <c r="E553" s="89"/>
      <c r="F553" s="293"/>
      <c r="G553" s="293"/>
      <c r="H553" s="293"/>
      <c r="I553" s="293"/>
      <c r="J553" s="293"/>
      <c r="K553" s="175"/>
      <c r="L553" s="175"/>
      <c r="M553" s="49" t="s">
        <v>12</v>
      </c>
      <c r="N553" s="61"/>
      <c r="O553" s="62"/>
      <c r="P553" s="98"/>
      <c r="Q553" s="71"/>
      <c r="R553" s="282"/>
      <c r="S553" s="94"/>
      <c r="T553" s="235"/>
    </row>
    <row r="554" spans="1:20" s="264" customFormat="1" ht="10.199999999999999" x14ac:dyDescent="0.2">
      <c r="A554" s="71"/>
      <c r="B554" s="293"/>
      <c r="C554" s="92"/>
      <c r="D554" s="293"/>
      <c r="E554" s="89"/>
      <c r="F554" s="293"/>
      <c r="G554" s="293"/>
      <c r="H554" s="293"/>
      <c r="I554" s="293"/>
      <c r="J554" s="293"/>
      <c r="K554" s="175"/>
      <c r="L554" s="175"/>
      <c r="M554" s="49" t="s">
        <v>13</v>
      </c>
      <c r="N554" s="61"/>
      <c r="O554" s="62"/>
      <c r="P554" s="98"/>
      <c r="Q554" s="71"/>
      <c r="R554" s="282"/>
      <c r="S554" s="94"/>
      <c r="T554" s="235"/>
    </row>
    <row r="555" spans="1:20" s="264" customFormat="1" ht="10.199999999999999" x14ac:dyDescent="0.2">
      <c r="A555" s="71"/>
      <c r="B555" s="293"/>
      <c r="C555" s="92"/>
      <c r="D555" s="293"/>
      <c r="E555" s="89"/>
      <c r="F555" s="293"/>
      <c r="G555" s="293"/>
      <c r="H555" s="293"/>
      <c r="I555" s="293"/>
      <c r="J555" s="293"/>
      <c r="K555" s="175"/>
      <c r="L555" s="175"/>
      <c r="M555" s="49" t="s">
        <v>14</v>
      </c>
      <c r="N555" s="80"/>
      <c r="O555" s="81"/>
      <c r="P555" s="98"/>
      <c r="Q555" s="71"/>
      <c r="R555" s="282"/>
      <c r="S555" s="94"/>
      <c r="T555" s="235"/>
    </row>
    <row r="556" spans="1:20" s="264" customFormat="1" x14ac:dyDescent="0.2">
      <c r="A556" s="87"/>
      <c r="B556" s="289"/>
      <c r="C556" s="78"/>
      <c r="D556" s="289"/>
      <c r="E556" s="89"/>
      <c r="F556" s="289"/>
      <c r="G556" s="289"/>
      <c r="H556" s="289"/>
      <c r="I556" s="289"/>
      <c r="J556" s="289"/>
      <c r="K556" s="175"/>
      <c r="L556" s="175"/>
      <c r="M556" s="49" t="s">
        <v>533</v>
      </c>
      <c r="N556" s="217" t="s">
        <v>485</v>
      </c>
      <c r="O556" s="218"/>
      <c r="P556" s="99"/>
      <c r="Q556" s="87"/>
      <c r="R556" s="282"/>
      <c r="S556" s="94"/>
      <c r="T556" s="235"/>
    </row>
    <row r="557" spans="1:20" s="264" customFormat="1" ht="10.199999999999999" x14ac:dyDescent="0.2">
      <c r="A557" s="297"/>
      <c r="B557" s="195" t="s">
        <v>460</v>
      </c>
      <c r="C557" s="348"/>
      <c r="D557" s="348"/>
      <c r="E557" s="348"/>
      <c r="F557" s="348"/>
      <c r="G557" s="348"/>
      <c r="H557" s="348"/>
      <c r="I557" s="349"/>
      <c r="J557" s="67">
        <f>SUM(J299:J556)-J425-J311</f>
        <v>5388.4999999999991</v>
      </c>
      <c r="K557" s="67">
        <f>SUM(K299:K556)</f>
        <v>705764.88899037382</v>
      </c>
      <c r="L557" s="67">
        <f>SUM(L299:L556)</f>
        <v>368618.43736860785</v>
      </c>
      <c r="M557" s="9" t="s">
        <v>22</v>
      </c>
      <c r="N557" s="301">
        <f>N558+N559+N560+N561+N562+N563</f>
        <v>47818.17</v>
      </c>
      <c r="O557" s="301">
        <f>O558+O559+O560+O561+O562+O563</f>
        <v>16000.830000000002</v>
      </c>
      <c r="P557" s="193"/>
      <c r="Q557" s="193"/>
      <c r="R557" s="282"/>
      <c r="S557" s="235"/>
      <c r="T557" s="235"/>
    </row>
    <row r="558" spans="1:20" s="264" customFormat="1" ht="10.199999999999999" x14ac:dyDescent="0.2">
      <c r="A558" s="303"/>
      <c r="B558" s="205"/>
      <c r="C558" s="350"/>
      <c r="D558" s="350"/>
      <c r="E558" s="350"/>
      <c r="F558" s="350"/>
      <c r="G558" s="350"/>
      <c r="H558" s="350"/>
      <c r="I558" s="351"/>
      <c r="J558" s="283"/>
      <c r="K558" s="283"/>
      <c r="L558" s="283"/>
      <c r="M558" s="10" t="s">
        <v>10</v>
      </c>
      <c r="N558" s="34">
        <f>N341+N347+N359+N353+N365+N407+N425+N419+N431+N437+N449+N455+N461+N509+N521+N527+N533+N539+N545+N497+N335</f>
        <v>18397.43</v>
      </c>
      <c r="O558" s="34">
        <f>O347+O365+O407+O431+O437+O449+O455+O461+O509+O521+O527+O533+O539+O545+O497+O335</f>
        <v>4516.16</v>
      </c>
      <c r="P558" s="176"/>
      <c r="Q558" s="176"/>
      <c r="R558" s="282"/>
      <c r="S558" s="235"/>
      <c r="T558" s="235"/>
    </row>
    <row r="559" spans="1:20" s="264" customFormat="1" ht="20.399999999999999" x14ac:dyDescent="0.2">
      <c r="A559" s="303"/>
      <c r="B559" s="205"/>
      <c r="C559" s="350"/>
      <c r="D559" s="350"/>
      <c r="E559" s="350"/>
      <c r="F559" s="350"/>
      <c r="G559" s="350"/>
      <c r="H559" s="350"/>
      <c r="I559" s="351"/>
      <c r="J559" s="283"/>
      <c r="K559" s="283"/>
      <c r="L559" s="283"/>
      <c r="M559" s="10" t="s">
        <v>11</v>
      </c>
      <c r="N559" s="34">
        <f>N348+N366+N360+N408+N420+N426+N432+N438+N444+N450+N342+N354+N456+N462+N504+N511+N522+N528+N534+N540+N546+N498+N336</f>
        <v>13110.7</v>
      </c>
      <c r="O559" s="34">
        <f>O348+O366+O408+O432+O438+O444+O450+O456+O462+O511+O522+O528+O534+O540+O546+O498+O336</f>
        <v>3088.35</v>
      </c>
      <c r="P559" s="176"/>
      <c r="Q559" s="176"/>
      <c r="R559" s="282"/>
      <c r="S559" s="235"/>
      <c r="T559" s="235"/>
    </row>
    <row r="560" spans="1:20" s="264" customFormat="1" ht="10.199999999999999" x14ac:dyDescent="0.2">
      <c r="A560" s="303"/>
      <c r="B560" s="205"/>
      <c r="C560" s="350"/>
      <c r="D560" s="350"/>
      <c r="E560" s="350"/>
      <c r="F560" s="350"/>
      <c r="G560" s="350"/>
      <c r="H560" s="350"/>
      <c r="I560" s="351"/>
      <c r="J560" s="283"/>
      <c r="K560" s="283"/>
      <c r="L560" s="283"/>
      <c r="M560" s="10" t="s">
        <v>12</v>
      </c>
      <c r="N560" s="34">
        <f>N349+N367+N361+N409+N421+N427+N433+N439+N445+N451+N343+N355+N457+N463+N505+N513+N523+N529+N535+N541+N547+N499+N337</f>
        <v>2013.68</v>
      </c>
      <c r="O560" s="34">
        <f>O349+O367+O409+O433+O439+O451+O457+O463+O513+O523+O529+O535+O541+O547+O499+O337+O505+O445</f>
        <v>2013.68</v>
      </c>
      <c r="P560" s="176"/>
      <c r="Q560" s="176"/>
      <c r="R560" s="282"/>
      <c r="S560" s="235"/>
      <c r="T560" s="235"/>
    </row>
    <row r="561" spans="1:20" s="264" customFormat="1" ht="10.199999999999999" x14ac:dyDescent="0.2">
      <c r="A561" s="303"/>
      <c r="B561" s="205"/>
      <c r="C561" s="350"/>
      <c r="D561" s="350"/>
      <c r="E561" s="350"/>
      <c r="F561" s="350"/>
      <c r="G561" s="350"/>
      <c r="H561" s="350"/>
      <c r="I561" s="351"/>
      <c r="J561" s="283"/>
      <c r="K561" s="283"/>
      <c r="L561" s="283"/>
      <c r="M561" s="10" t="s">
        <v>13</v>
      </c>
      <c r="N561" s="34">
        <f>N350+N368+N362+N410+N422+N428+N434+N440+N446+N452+N344+N356+N458+N464+N506+N515+N524+N530+N536+N542+N548+N500+N338</f>
        <v>790.93000000000006</v>
      </c>
      <c r="O561" s="34">
        <f>O350+O368+O410+O434+O440+O452+O458+O464+O515+O524+O530+O536+O542+O548+O500+O338+O506+O446</f>
        <v>782.29000000000008</v>
      </c>
      <c r="P561" s="176"/>
      <c r="Q561" s="176"/>
      <c r="R561" s="282"/>
      <c r="S561" s="235"/>
      <c r="T561" s="235"/>
    </row>
    <row r="562" spans="1:20" s="264" customFormat="1" ht="10.199999999999999" x14ac:dyDescent="0.2">
      <c r="A562" s="303"/>
      <c r="B562" s="205"/>
      <c r="C562" s="350"/>
      <c r="D562" s="350"/>
      <c r="E562" s="350"/>
      <c r="F562" s="350"/>
      <c r="G562" s="350"/>
      <c r="H562" s="350"/>
      <c r="I562" s="351"/>
      <c r="J562" s="283"/>
      <c r="K562" s="283"/>
      <c r="L562" s="283"/>
      <c r="M562" s="10" t="s">
        <v>14</v>
      </c>
      <c r="N562" s="34">
        <f>N351+N369+N363+N411+N423+N429+N435+N441+N447+N453+N345+N357+N459+N465+N507+N517+N525+N531+N537+N543+N549+N501+N339</f>
        <v>1087.8999999999999</v>
      </c>
      <c r="O562" s="34">
        <f>O351+O369+O411+O435+O441+O453+O459+O465+O517+O525+O531+O537+O543+O549+O501+O339+O507+O447</f>
        <v>1087.8999999999999</v>
      </c>
      <c r="P562" s="176"/>
      <c r="Q562" s="176"/>
      <c r="R562" s="282"/>
      <c r="S562" s="235"/>
      <c r="T562" s="235"/>
    </row>
    <row r="563" spans="1:20" s="264" customFormat="1" ht="10.199999999999999" x14ac:dyDescent="0.2">
      <c r="A563" s="308"/>
      <c r="B563" s="206"/>
      <c r="C563" s="352"/>
      <c r="D563" s="352"/>
      <c r="E563" s="352"/>
      <c r="F563" s="352"/>
      <c r="G563" s="352"/>
      <c r="H563" s="352"/>
      <c r="I563" s="353"/>
      <c r="J563" s="284"/>
      <c r="K563" s="284"/>
      <c r="L563" s="284"/>
      <c r="M563" s="10" t="s">
        <v>533</v>
      </c>
      <c r="N563" s="34">
        <f>N304+N310+N316+N322+N328+N340+N346+N352+N358+N364+N370+N382+N388+N394+N400+N412+N418+N424+N430+N436+N442+N376+N526+N532+N538+N519+N544+N550+N334</f>
        <v>12417.529999999999</v>
      </c>
      <c r="O563" s="34">
        <f>O304+O310+O316+O322+O328+O340+O346+O352+O358+O364+O370+O382+O388+O394+O400+O412+O418+O436+O442+O376+O526+O532+O538+O519+O544+O550+O334</f>
        <v>4512.45</v>
      </c>
      <c r="P563" s="176"/>
      <c r="Q563" s="176"/>
      <c r="R563" s="282"/>
      <c r="S563" s="235"/>
      <c r="T563" s="235"/>
    </row>
    <row r="564" spans="1:20" s="264" customFormat="1" ht="15.6" x14ac:dyDescent="0.3">
      <c r="A564" s="354" t="s">
        <v>375</v>
      </c>
      <c r="B564" s="354"/>
      <c r="C564" s="354"/>
      <c r="D564" s="354"/>
      <c r="E564" s="354"/>
      <c r="F564" s="354"/>
      <c r="G564" s="354"/>
      <c r="H564" s="354"/>
      <c r="I564" s="354"/>
      <c r="J564" s="354"/>
      <c r="K564" s="354"/>
      <c r="L564" s="354"/>
      <c r="M564" s="354"/>
      <c r="N564" s="354"/>
      <c r="O564" s="354"/>
      <c r="P564" s="355"/>
      <c r="Q564" s="355"/>
      <c r="R564" s="282"/>
      <c r="S564" s="55"/>
      <c r="T564" s="235"/>
    </row>
    <row r="565" spans="1:20" s="264" customFormat="1" ht="30.6" x14ac:dyDescent="0.2">
      <c r="A565" s="71">
        <f>A551+1</f>
        <v>89</v>
      </c>
      <c r="B565" s="125">
        <v>44407</v>
      </c>
      <c r="C565" s="125">
        <v>46232</v>
      </c>
      <c r="D565" s="142" t="s">
        <v>541</v>
      </c>
      <c r="E565" s="71" t="s">
        <v>300</v>
      </c>
      <c r="F565" s="71" t="s">
        <v>299</v>
      </c>
      <c r="G565" s="71" t="s">
        <v>52</v>
      </c>
      <c r="H565" s="47" t="s">
        <v>376</v>
      </c>
      <c r="I565" s="129" t="s">
        <v>53</v>
      </c>
      <c r="J565" s="54">
        <v>87</v>
      </c>
      <c r="K565" s="347">
        <f>S565*6</f>
        <v>14532.48</v>
      </c>
      <c r="L565" s="347">
        <f>S565*3</f>
        <v>7266.24</v>
      </c>
      <c r="M565" s="28"/>
      <c r="O565" s="356"/>
      <c r="P565" s="71" t="s">
        <v>52</v>
      </c>
      <c r="Q565" s="87" t="s">
        <v>542</v>
      </c>
      <c r="R565" s="282"/>
      <c r="S565" s="55">
        <f>14.5*J565*1.2*(1+0.1+0.9)*0.8</f>
        <v>2422.08</v>
      </c>
      <c r="T565" s="235"/>
    </row>
    <row r="566" spans="1:20" s="264" customFormat="1" ht="30.6" x14ac:dyDescent="0.2">
      <c r="A566" s="71"/>
      <c r="B566" s="71"/>
      <c r="C566" s="71"/>
      <c r="D566" s="71"/>
      <c r="E566" s="71"/>
      <c r="F566" s="71"/>
      <c r="G566" s="71"/>
      <c r="H566" s="38" t="s">
        <v>377</v>
      </c>
      <c r="I566" s="138"/>
      <c r="J566" s="39">
        <v>51.8</v>
      </c>
      <c r="K566" s="347">
        <f>S566*6</f>
        <v>7210.5599999999995</v>
      </c>
      <c r="L566" s="34">
        <f>S566*3</f>
        <v>3605.2799999999997</v>
      </c>
      <c r="M566" s="28"/>
      <c r="O566" s="356"/>
      <c r="P566" s="71"/>
      <c r="Q566" s="89"/>
      <c r="R566" s="282"/>
      <c r="S566" s="55">
        <f>14.5*J566*1*(1+0.1+0.9)*0.8</f>
        <v>1201.76</v>
      </c>
      <c r="T566" s="235"/>
    </row>
    <row r="567" spans="1:20" s="264" customFormat="1" ht="30.6" x14ac:dyDescent="0.2">
      <c r="A567" s="71"/>
      <c r="B567" s="71"/>
      <c r="C567" s="71"/>
      <c r="D567" s="71"/>
      <c r="E567" s="71"/>
      <c r="F567" s="71"/>
      <c r="G567" s="71"/>
      <c r="H567" s="38" t="s">
        <v>378</v>
      </c>
      <c r="I567" s="138"/>
      <c r="J567" s="39">
        <v>37.200000000000003</v>
      </c>
      <c r="K567" s="347">
        <f>S567*6</f>
        <v>5696.0640000000021</v>
      </c>
      <c r="L567" s="34">
        <f>S567*3</f>
        <v>2848.0320000000011</v>
      </c>
      <c r="M567" s="49" t="s">
        <v>10</v>
      </c>
      <c r="N567" s="357">
        <v>0</v>
      </c>
      <c r="O567" s="357">
        <v>0</v>
      </c>
      <c r="P567" s="71"/>
      <c r="Q567" s="89"/>
      <c r="R567" s="282"/>
      <c r="S567" s="55">
        <f>14.5*J567*1.1*(1+0.1+0.9)*0.8</f>
        <v>949.34400000000028</v>
      </c>
      <c r="T567" s="235"/>
    </row>
    <row r="568" spans="1:20" s="264" customFormat="1" ht="30.6" x14ac:dyDescent="0.2">
      <c r="A568" s="71"/>
      <c r="B568" s="71"/>
      <c r="C568" s="71"/>
      <c r="D568" s="71"/>
      <c r="E568" s="71"/>
      <c r="F568" s="71"/>
      <c r="G568" s="71"/>
      <c r="H568" s="38" t="s">
        <v>379</v>
      </c>
      <c r="I568" s="138"/>
      <c r="J568" s="39">
        <v>17.3</v>
      </c>
      <c r="K568" s="347">
        <f>S568*6</f>
        <v>2889.7920000000004</v>
      </c>
      <c r="L568" s="34">
        <f>S568*3</f>
        <v>1444.8960000000002</v>
      </c>
      <c r="M568" s="49" t="s">
        <v>11</v>
      </c>
      <c r="N568" s="357">
        <v>153.12</v>
      </c>
      <c r="O568" s="357">
        <v>153.12</v>
      </c>
      <c r="P568" s="71"/>
      <c r="Q568" s="89"/>
      <c r="R568" s="282"/>
      <c r="S568" s="55">
        <f>14.5*J568*1.2*(1+0.1+0.9)*0.8</f>
        <v>481.63200000000006</v>
      </c>
      <c r="T568" s="235"/>
    </row>
    <row r="569" spans="1:20" s="264" customFormat="1" ht="30.6" x14ac:dyDescent="0.2">
      <c r="A569" s="71"/>
      <c r="B569" s="71"/>
      <c r="C569" s="71"/>
      <c r="D569" s="71"/>
      <c r="E569" s="71"/>
      <c r="F569" s="71"/>
      <c r="G569" s="71"/>
      <c r="H569" s="38" t="s">
        <v>380</v>
      </c>
      <c r="I569" s="138"/>
      <c r="J569" s="39">
        <v>7.56</v>
      </c>
      <c r="K569" s="347">
        <f>S569*6</f>
        <v>1262.8224</v>
      </c>
      <c r="L569" s="34">
        <f>S569*3</f>
        <v>631.41120000000001</v>
      </c>
      <c r="M569" s="49" t="s">
        <v>12</v>
      </c>
      <c r="N569" s="357">
        <v>0</v>
      </c>
      <c r="O569" s="357">
        <v>0</v>
      </c>
      <c r="P569" s="71"/>
      <c r="Q569" s="89"/>
      <c r="R569" s="282"/>
      <c r="S569" s="55">
        <f>14.5*J569*1.2*(1+0.1+0.9)*0.8</f>
        <v>210.47039999999998</v>
      </c>
      <c r="T569" s="235"/>
    </row>
    <row r="570" spans="1:20" s="264" customFormat="1" ht="30.6" x14ac:dyDescent="0.2">
      <c r="A570" s="71"/>
      <c r="B570" s="71"/>
      <c r="C570" s="71"/>
      <c r="D570" s="71"/>
      <c r="E570" s="71"/>
      <c r="F570" s="71"/>
      <c r="G570" s="71"/>
      <c r="H570" s="38" t="s">
        <v>381</v>
      </c>
      <c r="I570" s="138"/>
      <c r="J570" s="39">
        <v>54.7</v>
      </c>
      <c r="K570" s="347">
        <f>S570*6</f>
        <v>7614.2400000000016</v>
      </c>
      <c r="L570" s="34">
        <f>S570*3</f>
        <v>3807.1200000000008</v>
      </c>
      <c r="M570" s="49" t="s">
        <v>13</v>
      </c>
      <c r="N570" s="357">
        <v>198.16</v>
      </c>
      <c r="O570" s="357">
        <v>198.16</v>
      </c>
      <c r="P570" s="71"/>
      <c r="Q570" s="89"/>
      <c r="R570" s="282"/>
      <c r="S570" s="55">
        <f>14.5*J570*1*(1+0.1+0.9)*0.8</f>
        <v>1269.0400000000002</v>
      </c>
      <c r="T570" s="235"/>
    </row>
    <row r="571" spans="1:20" s="264" customFormat="1" ht="30.6" x14ac:dyDescent="0.2">
      <c r="A571" s="71"/>
      <c r="B571" s="71"/>
      <c r="C571" s="71"/>
      <c r="D571" s="71"/>
      <c r="E571" s="71"/>
      <c r="F571" s="71"/>
      <c r="G571" s="71"/>
      <c r="H571" s="38" t="s">
        <v>540</v>
      </c>
      <c r="I571" s="138"/>
      <c r="J571" s="39">
        <v>28.6</v>
      </c>
      <c r="K571" s="347">
        <f>S571*6</f>
        <v>6170.7360000000008</v>
      </c>
      <c r="L571" s="34">
        <f>S571*3</f>
        <v>3085.3680000000004</v>
      </c>
      <c r="M571" s="49" t="s">
        <v>14</v>
      </c>
      <c r="N571" s="357">
        <v>0</v>
      </c>
      <c r="O571" s="357">
        <v>0</v>
      </c>
      <c r="P571" s="71"/>
      <c r="Q571" s="89"/>
      <c r="R571" s="282"/>
      <c r="S571" s="55">
        <f>14.5*J571*1*(1+1.2+0.9)*0.8</f>
        <v>1028.4560000000001</v>
      </c>
      <c r="T571" s="235"/>
    </row>
    <row r="572" spans="1:20" s="264" customFormat="1" ht="30.6" x14ac:dyDescent="0.2">
      <c r="A572" s="71"/>
      <c r="B572" s="71"/>
      <c r="C572" s="71"/>
      <c r="D572" s="71"/>
      <c r="E572" s="71"/>
      <c r="F572" s="71"/>
      <c r="G572" s="71"/>
      <c r="H572" s="38" t="s">
        <v>382</v>
      </c>
      <c r="I572" s="138"/>
      <c r="J572" s="39">
        <v>15.8</v>
      </c>
      <c r="K572" s="347">
        <f>S572*6</f>
        <v>2199.3600000000006</v>
      </c>
      <c r="L572" s="34">
        <f>S572*3</f>
        <v>1099.6800000000003</v>
      </c>
      <c r="M572" s="49" t="s">
        <v>533</v>
      </c>
      <c r="N572" s="357">
        <v>460.32</v>
      </c>
      <c r="O572" s="357">
        <v>460.32</v>
      </c>
      <c r="P572" s="71"/>
      <c r="Q572" s="89"/>
      <c r="R572" s="282"/>
      <c r="S572" s="55">
        <f>14.5*J572*1*(1+0.1+0.9)*0.8</f>
        <v>366.56000000000006</v>
      </c>
      <c r="T572" s="235"/>
    </row>
    <row r="573" spans="1:20" s="264" customFormat="1" ht="40.799999999999997" x14ac:dyDescent="0.2">
      <c r="A573" s="87"/>
      <c r="B573" s="87"/>
      <c r="C573" s="87"/>
      <c r="D573" s="87"/>
      <c r="E573" s="87"/>
      <c r="F573" s="87"/>
      <c r="G573" s="87"/>
      <c r="H573" s="38" t="s">
        <v>383</v>
      </c>
      <c r="I573" s="139"/>
      <c r="J573" s="39">
        <v>20.3</v>
      </c>
      <c r="K573" s="347">
        <f>S573*6</f>
        <v>2825.76</v>
      </c>
      <c r="L573" s="34">
        <f>S573*3</f>
        <v>1412.88</v>
      </c>
      <c r="M573" s="358"/>
      <c r="N573" s="359"/>
      <c r="O573" s="360"/>
      <c r="P573" s="87"/>
      <c r="Q573" s="89"/>
      <c r="R573" s="282"/>
      <c r="S573" s="55">
        <f>14.5*J573*1*(1+0.1+0.9)*0.8</f>
        <v>470.96000000000004</v>
      </c>
      <c r="T573" s="235"/>
    </row>
    <row r="574" spans="1:20" s="269" customFormat="1" ht="30.6" x14ac:dyDescent="0.2">
      <c r="A574" s="58">
        <f>A565+1</f>
        <v>90</v>
      </c>
      <c r="B574" s="88">
        <v>44407</v>
      </c>
      <c r="C574" s="88">
        <v>46232</v>
      </c>
      <c r="D574" s="90" t="s">
        <v>588</v>
      </c>
      <c r="E574" s="89" t="s">
        <v>300</v>
      </c>
      <c r="F574" s="90" t="s">
        <v>299</v>
      </c>
      <c r="G574" s="90" t="s">
        <v>118</v>
      </c>
      <c r="H574" s="38" t="s">
        <v>384</v>
      </c>
      <c r="I574" s="110" t="s">
        <v>53</v>
      </c>
      <c r="J574" s="39">
        <v>103.6</v>
      </c>
      <c r="K574" s="347">
        <f>S574*6</f>
        <v>17305.343999999997</v>
      </c>
      <c r="L574" s="34">
        <f>S574*3</f>
        <v>8652.6719999999987</v>
      </c>
      <c r="M574" s="355"/>
      <c r="N574" s="355"/>
      <c r="O574" s="355"/>
      <c r="P574" s="90" t="s">
        <v>54</v>
      </c>
      <c r="Q574" s="136"/>
      <c r="R574" s="319"/>
      <c r="S574" s="384">
        <f>14.5*J574*1.2*(1+0.1+0.9)*0.8</f>
        <v>2884.2239999999997</v>
      </c>
      <c r="T574" s="268"/>
    </row>
    <row r="575" spans="1:20" s="269" customFormat="1" ht="30.6" x14ac:dyDescent="0.2">
      <c r="A575" s="71"/>
      <c r="B575" s="89"/>
      <c r="C575" s="89"/>
      <c r="D575" s="89"/>
      <c r="E575" s="89"/>
      <c r="F575" s="89"/>
      <c r="G575" s="89"/>
      <c r="H575" s="38" t="s">
        <v>385</v>
      </c>
      <c r="I575" s="140"/>
      <c r="J575" s="39">
        <v>75</v>
      </c>
      <c r="K575" s="347">
        <f>S575*6</f>
        <v>12528</v>
      </c>
      <c r="L575" s="34">
        <f>S575*3</f>
        <v>6264</v>
      </c>
      <c r="M575" s="355"/>
      <c r="N575" s="355"/>
      <c r="O575" s="355"/>
      <c r="P575" s="89"/>
      <c r="Q575" s="251"/>
      <c r="R575" s="319"/>
      <c r="S575" s="384">
        <f>14.5*J575*1.2*(1+0.1+0.9)*0.8</f>
        <v>2088</v>
      </c>
      <c r="T575" s="268"/>
    </row>
    <row r="576" spans="1:20" s="269" customFormat="1" ht="30.6" x14ac:dyDescent="0.2">
      <c r="A576" s="71"/>
      <c r="B576" s="89"/>
      <c r="C576" s="89"/>
      <c r="D576" s="89"/>
      <c r="E576" s="89"/>
      <c r="F576" s="89"/>
      <c r="G576" s="89"/>
      <c r="H576" s="38" t="s">
        <v>386</v>
      </c>
      <c r="I576" s="140"/>
      <c r="J576" s="39">
        <v>47.3</v>
      </c>
      <c r="K576" s="347">
        <f>S576*6</f>
        <v>7242.576</v>
      </c>
      <c r="L576" s="34">
        <f>S576*3</f>
        <v>3621.288</v>
      </c>
      <c r="M576" s="355"/>
      <c r="N576" s="355"/>
      <c r="O576" s="355"/>
      <c r="P576" s="89"/>
      <c r="Q576" s="251"/>
      <c r="R576" s="319"/>
      <c r="S576" s="384">
        <f>14.5*J576*1.1*(1+0.1+0.9)*0.8</f>
        <v>1207.096</v>
      </c>
      <c r="T576" s="268"/>
    </row>
    <row r="577" spans="1:20" s="269" customFormat="1" ht="30.6" x14ac:dyDescent="0.2">
      <c r="A577" s="71"/>
      <c r="B577" s="89"/>
      <c r="C577" s="89"/>
      <c r="D577" s="89"/>
      <c r="E577" s="89"/>
      <c r="F577" s="89"/>
      <c r="G577" s="89"/>
      <c r="H577" s="38" t="s">
        <v>387</v>
      </c>
      <c r="I577" s="140"/>
      <c r="J577" s="39">
        <v>14.6</v>
      </c>
      <c r="K577" s="347">
        <f>S577*6</f>
        <v>2438.7839999999997</v>
      </c>
      <c r="L577" s="34">
        <f>S577*3</f>
        <v>1219.3919999999998</v>
      </c>
      <c r="M577" s="11" t="s">
        <v>10</v>
      </c>
      <c r="N577" s="281">
        <v>0</v>
      </c>
      <c r="O577" s="281">
        <v>0</v>
      </c>
      <c r="P577" s="89"/>
      <c r="Q577" s="251"/>
      <c r="R577" s="319"/>
      <c r="S577" s="384">
        <f>14.5*J577*1.2*(1+0.1+0.9)*0.8</f>
        <v>406.46399999999994</v>
      </c>
      <c r="T577" s="268"/>
    </row>
    <row r="578" spans="1:20" s="269" customFormat="1" ht="30.6" x14ac:dyDescent="0.2">
      <c r="A578" s="71"/>
      <c r="B578" s="89"/>
      <c r="C578" s="89"/>
      <c r="D578" s="89"/>
      <c r="E578" s="89"/>
      <c r="F578" s="89"/>
      <c r="G578" s="89"/>
      <c r="H578" s="38" t="s">
        <v>388</v>
      </c>
      <c r="I578" s="140"/>
      <c r="J578" s="39">
        <v>32</v>
      </c>
      <c r="K578" s="347">
        <f>S578*6</f>
        <v>4454.4000000000005</v>
      </c>
      <c r="L578" s="34">
        <f>S578*3</f>
        <v>2227.2000000000003</v>
      </c>
      <c r="M578" s="49" t="s">
        <v>11</v>
      </c>
      <c r="N578" s="281">
        <v>178.59</v>
      </c>
      <c r="O578" s="281">
        <v>178.59</v>
      </c>
      <c r="P578" s="89"/>
      <c r="Q578" s="251"/>
      <c r="R578" s="319"/>
      <c r="S578" s="384">
        <f>14.5*J578*1*(1+0.1+0.9)*0.8</f>
        <v>742.40000000000009</v>
      </c>
      <c r="T578" s="268"/>
    </row>
    <row r="579" spans="1:20" s="269" customFormat="1" ht="30.6" x14ac:dyDescent="0.2">
      <c r="A579" s="92"/>
      <c r="B579" s="89"/>
      <c r="C579" s="89"/>
      <c r="D579" s="89"/>
      <c r="E579" s="89"/>
      <c r="F579" s="89"/>
      <c r="G579" s="89"/>
      <c r="H579" s="38" t="s">
        <v>389</v>
      </c>
      <c r="I579" s="140"/>
      <c r="J579" s="39">
        <v>17.600000000000001</v>
      </c>
      <c r="K579" s="347">
        <f>S579*6</f>
        <v>2449.92</v>
      </c>
      <c r="L579" s="34">
        <f>S579*3</f>
        <v>1224.96</v>
      </c>
      <c r="M579" s="49" t="s">
        <v>12</v>
      </c>
      <c r="N579" s="281">
        <v>0</v>
      </c>
      <c r="O579" s="281">
        <v>0</v>
      </c>
      <c r="P579" s="89"/>
      <c r="Q579" s="251"/>
      <c r="R579" s="319"/>
      <c r="S579" s="384">
        <f>14.5*J579*1*(1+0.1+0.9)*0.8</f>
        <v>408.32000000000005</v>
      </c>
      <c r="T579" s="268"/>
    </row>
    <row r="580" spans="1:20" s="269" customFormat="1" ht="30.6" x14ac:dyDescent="0.2">
      <c r="A580" s="92"/>
      <c r="B580" s="89"/>
      <c r="C580" s="89"/>
      <c r="D580" s="89"/>
      <c r="E580" s="89"/>
      <c r="F580" s="89"/>
      <c r="G580" s="89"/>
      <c r="H580" s="38" t="s">
        <v>641</v>
      </c>
      <c r="I580" s="140"/>
      <c r="J580" s="39">
        <v>164.6</v>
      </c>
      <c r="K580" s="347">
        <f>S580*6</f>
        <v>25203.551999999996</v>
      </c>
      <c r="L580" s="34">
        <f>S580*3</f>
        <v>12601.775999999998</v>
      </c>
      <c r="M580" s="49" t="s">
        <v>13</v>
      </c>
      <c r="N580" s="281">
        <v>939.09</v>
      </c>
      <c r="O580" s="281">
        <v>939.09</v>
      </c>
      <c r="P580" s="89"/>
      <c r="Q580" s="251"/>
      <c r="R580" s="319"/>
      <c r="S580" s="384">
        <f>14.5*J580*1.1*(1+0.1+0.9)*0.8</f>
        <v>4200.5919999999996</v>
      </c>
      <c r="T580" s="268"/>
    </row>
    <row r="581" spans="1:20" s="269" customFormat="1" ht="30.6" x14ac:dyDescent="0.2">
      <c r="A581" s="92"/>
      <c r="B581" s="89"/>
      <c r="C581" s="89"/>
      <c r="D581" s="89"/>
      <c r="E581" s="89"/>
      <c r="F581" s="89"/>
      <c r="G581" s="89"/>
      <c r="H581" s="38" t="s">
        <v>587</v>
      </c>
      <c r="I581" s="140"/>
      <c r="J581" s="39">
        <v>133.80000000000001</v>
      </c>
      <c r="K581" s="347">
        <f>S581*6</f>
        <v>20487.456000000002</v>
      </c>
      <c r="L581" s="34">
        <f>S581*3</f>
        <v>10243.728000000001</v>
      </c>
      <c r="M581" s="49" t="s">
        <v>14</v>
      </c>
      <c r="N581" s="281">
        <v>0</v>
      </c>
      <c r="O581" s="281">
        <v>0</v>
      </c>
      <c r="P581" s="89"/>
      <c r="Q581" s="251"/>
      <c r="R581" s="319"/>
      <c r="S581" s="384">
        <f>14.5*J581*1.1*(1+0.1+0.9)*0.8</f>
        <v>3414.5760000000005</v>
      </c>
      <c r="T581" s="268"/>
    </row>
    <row r="582" spans="1:20" s="269" customFormat="1" ht="30.6" x14ac:dyDescent="0.2">
      <c r="A582" s="92"/>
      <c r="B582" s="89"/>
      <c r="C582" s="89"/>
      <c r="D582" s="89"/>
      <c r="E582" s="89"/>
      <c r="F582" s="89"/>
      <c r="G582" s="89"/>
      <c r="H582" s="38" t="s">
        <v>390</v>
      </c>
      <c r="I582" s="140"/>
      <c r="J582" s="39">
        <v>110.6</v>
      </c>
      <c r="K582" s="347">
        <f>S582*6</f>
        <v>16935.072</v>
      </c>
      <c r="L582" s="34">
        <f>S582*3</f>
        <v>8467.5360000000001</v>
      </c>
      <c r="M582" s="49" t="s">
        <v>533</v>
      </c>
      <c r="N582" s="281">
        <v>1348.43</v>
      </c>
      <c r="O582" s="281">
        <v>1348.43</v>
      </c>
      <c r="P582" s="89"/>
      <c r="Q582" s="251"/>
      <c r="R582" s="319"/>
      <c r="S582" s="384">
        <f>14.5*J582*1.1*(1+0.1+0.9)*0.8</f>
        <v>2822.5120000000002</v>
      </c>
      <c r="T582" s="268"/>
    </row>
    <row r="583" spans="1:20" s="269" customFormat="1" ht="30.6" x14ac:dyDescent="0.3">
      <c r="A583" s="92"/>
      <c r="B583" s="89"/>
      <c r="C583" s="89"/>
      <c r="D583" s="89"/>
      <c r="E583" s="89"/>
      <c r="F583" s="89"/>
      <c r="G583" s="89"/>
      <c r="H583" s="38" t="s">
        <v>391</v>
      </c>
      <c r="I583" s="140"/>
      <c r="J583" s="39">
        <v>89.3</v>
      </c>
      <c r="K583" s="347">
        <f>S583*6</f>
        <v>13673.616000000002</v>
      </c>
      <c r="L583" s="34">
        <f>S583*3</f>
        <v>6836.8080000000009</v>
      </c>
      <c r="M583" s="361"/>
      <c r="N583" s="248"/>
      <c r="O583" s="362"/>
      <c r="P583" s="89"/>
      <c r="Q583" s="251"/>
      <c r="R583" s="319"/>
      <c r="S583" s="384">
        <f>14.5*J583*1.1*(1+0.1+0.9)*0.8</f>
        <v>2278.9360000000001</v>
      </c>
      <c r="T583" s="268"/>
    </row>
    <row r="584" spans="1:20" s="269" customFormat="1" ht="30.6" x14ac:dyDescent="0.3">
      <c r="A584" s="78"/>
      <c r="B584" s="89"/>
      <c r="C584" s="89"/>
      <c r="D584" s="89"/>
      <c r="E584" s="89"/>
      <c r="F584" s="89"/>
      <c r="G584" s="89"/>
      <c r="H584" s="38" t="s">
        <v>392</v>
      </c>
      <c r="I584" s="141"/>
      <c r="J584" s="39">
        <v>10</v>
      </c>
      <c r="K584" s="347">
        <f>S584*6</f>
        <v>1670.4</v>
      </c>
      <c r="L584" s="34">
        <f>S584*3</f>
        <v>835.2</v>
      </c>
      <c r="M584" s="363"/>
      <c r="N584" s="364"/>
      <c r="O584" s="365"/>
      <c r="P584" s="89"/>
      <c r="Q584" s="251"/>
      <c r="R584" s="319"/>
      <c r="S584" s="384">
        <f>14.5*J584*1.2*(1+0.1+0.9)*0.8</f>
        <v>278.40000000000003</v>
      </c>
      <c r="T584" s="268"/>
    </row>
    <row r="585" spans="1:20" s="269" customFormat="1" ht="10.199999999999999" x14ac:dyDescent="0.2">
      <c r="A585" s="58">
        <f>A574+1</f>
        <v>91</v>
      </c>
      <c r="B585" s="95">
        <v>45049</v>
      </c>
      <c r="C585" s="95">
        <v>46873</v>
      </c>
      <c r="D585" s="58" t="s">
        <v>647</v>
      </c>
      <c r="E585" s="58" t="s">
        <v>300</v>
      </c>
      <c r="F585" s="58" t="s">
        <v>299</v>
      </c>
      <c r="G585" s="58" t="s">
        <v>55</v>
      </c>
      <c r="H585" s="58" t="s">
        <v>648</v>
      </c>
      <c r="I585" s="58" t="s">
        <v>649</v>
      </c>
      <c r="J585" s="58">
        <v>63.8</v>
      </c>
      <c r="K585" s="111">
        <f>S585*6</f>
        <v>9769.0560000000005</v>
      </c>
      <c r="L585" s="111">
        <f>S585*3</f>
        <v>4884.5280000000002</v>
      </c>
      <c r="M585" s="49" t="s">
        <v>10</v>
      </c>
      <c r="N585" s="34">
        <v>0</v>
      </c>
      <c r="O585" s="34">
        <v>0</v>
      </c>
      <c r="P585" s="58" t="s">
        <v>55</v>
      </c>
      <c r="Q585" s="135"/>
      <c r="R585" s="319"/>
      <c r="S585" s="257">
        <f>14.5*J585*1.1*(1+0.1+0.9)*0.8</f>
        <v>1628.1760000000002</v>
      </c>
      <c r="T585" s="268"/>
    </row>
    <row r="586" spans="1:20" s="269" customFormat="1" ht="20.399999999999999" x14ac:dyDescent="0.2">
      <c r="A586" s="71"/>
      <c r="B586" s="136"/>
      <c r="C586" s="136"/>
      <c r="D586" s="136"/>
      <c r="E586" s="136"/>
      <c r="F586" s="71"/>
      <c r="G586" s="71"/>
      <c r="H586" s="136"/>
      <c r="I586" s="136"/>
      <c r="J586" s="136"/>
      <c r="K586" s="335"/>
      <c r="L586" s="335"/>
      <c r="M586" s="49" t="s">
        <v>11</v>
      </c>
      <c r="N586" s="83" t="s">
        <v>489</v>
      </c>
      <c r="O586" s="62"/>
      <c r="P586" s="71"/>
      <c r="Q586" s="136"/>
      <c r="R586" s="319"/>
      <c r="S586" s="257"/>
      <c r="T586" s="268"/>
    </row>
    <row r="587" spans="1:20" s="269" customFormat="1" ht="10.199999999999999" x14ac:dyDescent="0.2">
      <c r="A587" s="71"/>
      <c r="B587" s="136"/>
      <c r="C587" s="136"/>
      <c r="D587" s="136"/>
      <c r="E587" s="136"/>
      <c r="F587" s="71"/>
      <c r="G587" s="71"/>
      <c r="H587" s="136"/>
      <c r="I587" s="136"/>
      <c r="J587" s="136"/>
      <c r="K587" s="335"/>
      <c r="L587" s="335"/>
      <c r="M587" s="49" t="s">
        <v>12</v>
      </c>
      <c r="N587" s="61"/>
      <c r="O587" s="62"/>
      <c r="P587" s="71"/>
      <c r="Q587" s="136"/>
      <c r="R587" s="319"/>
      <c r="S587" s="257"/>
      <c r="T587" s="268"/>
    </row>
    <row r="588" spans="1:20" s="269" customFormat="1" ht="10.199999999999999" x14ac:dyDescent="0.2">
      <c r="A588" s="71"/>
      <c r="B588" s="136"/>
      <c r="C588" s="136"/>
      <c r="D588" s="136"/>
      <c r="E588" s="136"/>
      <c r="F588" s="71"/>
      <c r="G588" s="71"/>
      <c r="H588" s="136"/>
      <c r="I588" s="136"/>
      <c r="J588" s="136"/>
      <c r="K588" s="335"/>
      <c r="L588" s="335"/>
      <c r="M588" s="49" t="s">
        <v>13</v>
      </c>
      <c r="N588" s="61"/>
      <c r="O588" s="62"/>
      <c r="P588" s="71"/>
      <c r="Q588" s="136"/>
      <c r="R588" s="319"/>
      <c r="S588" s="257"/>
      <c r="T588" s="268"/>
    </row>
    <row r="589" spans="1:20" s="269" customFormat="1" ht="10.199999999999999" x14ac:dyDescent="0.2">
      <c r="A589" s="71"/>
      <c r="B589" s="136"/>
      <c r="C589" s="136"/>
      <c r="D589" s="136"/>
      <c r="E589" s="136"/>
      <c r="F589" s="71"/>
      <c r="G589" s="71"/>
      <c r="H589" s="136"/>
      <c r="I589" s="136"/>
      <c r="J589" s="136"/>
      <c r="K589" s="335"/>
      <c r="L589" s="335"/>
      <c r="M589" s="49" t="s">
        <v>14</v>
      </c>
      <c r="N589" s="61"/>
      <c r="O589" s="62"/>
      <c r="P589" s="71"/>
      <c r="Q589" s="136"/>
      <c r="R589" s="319"/>
      <c r="S589" s="257"/>
      <c r="T589" s="268"/>
    </row>
    <row r="590" spans="1:20" s="269" customFormat="1" ht="10.199999999999999" x14ac:dyDescent="0.2">
      <c r="A590" s="87"/>
      <c r="B590" s="137"/>
      <c r="C590" s="137"/>
      <c r="D590" s="137"/>
      <c r="E590" s="137"/>
      <c r="F590" s="87"/>
      <c r="G590" s="87"/>
      <c r="H590" s="137"/>
      <c r="I590" s="137"/>
      <c r="J590" s="137"/>
      <c r="K590" s="335"/>
      <c r="L590" s="335"/>
      <c r="M590" s="295" t="s">
        <v>533</v>
      </c>
      <c r="N590" s="25">
        <v>176.46</v>
      </c>
      <c r="O590" s="25">
        <v>157.16</v>
      </c>
      <c r="P590" s="87"/>
      <c r="Q590" s="137"/>
      <c r="R590" s="319"/>
      <c r="S590" s="257"/>
      <c r="T590" s="268"/>
    </row>
    <row r="591" spans="1:20" s="269" customFormat="1" ht="10.199999999999999" x14ac:dyDescent="0.2">
      <c r="A591" s="58">
        <f>A585+1</f>
        <v>92</v>
      </c>
      <c r="B591" s="95">
        <v>44914</v>
      </c>
      <c r="C591" s="95">
        <v>46509</v>
      </c>
      <c r="D591" s="58" t="s">
        <v>560</v>
      </c>
      <c r="E591" s="58" t="s">
        <v>300</v>
      </c>
      <c r="F591" s="58" t="s">
        <v>299</v>
      </c>
      <c r="G591" s="58" t="s">
        <v>65</v>
      </c>
      <c r="H591" s="58" t="s">
        <v>393</v>
      </c>
      <c r="I591" s="58" t="s">
        <v>31</v>
      </c>
      <c r="J591" s="58">
        <v>260.5</v>
      </c>
      <c r="K591" s="111">
        <f>S591*6</f>
        <v>101169.86399999997</v>
      </c>
      <c r="L591" s="111">
        <f>S591*3</f>
        <v>50584.931999999986</v>
      </c>
      <c r="M591" s="49" t="s">
        <v>10</v>
      </c>
      <c r="N591" s="79" t="s">
        <v>457</v>
      </c>
      <c r="O591" s="60"/>
      <c r="P591" s="58" t="s">
        <v>65</v>
      </c>
      <c r="Q591" s="135"/>
      <c r="R591" s="319"/>
      <c r="S591" s="257">
        <f>14.5*J591*1.2*(1+1.2+0.9)*1.2</f>
        <v>16861.643999999997</v>
      </c>
      <c r="T591" s="268"/>
    </row>
    <row r="592" spans="1:20" s="269" customFormat="1" ht="20.399999999999999" x14ac:dyDescent="0.2">
      <c r="A592" s="71"/>
      <c r="B592" s="136"/>
      <c r="C592" s="136"/>
      <c r="D592" s="136"/>
      <c r="E592" s="136"/>
      <c r="F592" s="71"/>
      <c r="G592" s="136"/>
      <c r="H592" s="136"/>
      <c r="I592" s="136"/>
      <c r="J592" s="136"/>
      <c r="K592" s="335"/>
      <c r="L592" s="335"/>
      <c r="M592" s="49" t="s">
        <v>11</v>
      </c>
      <c r="N592" s="61"/>
      <c r="O592" s="62"/>
      <c r="P592" s="136"/>
      <c r="Q592" s="136"/>
      <c r="R592" s="319"/>
      <c r="S592" s="257"/>
      <c r="T592" s="268"/>
    </row>
    <row r="593" spans="1:20" s="269" customFormat="1" ht="10.199999999999999" x14ac:dyDescent="0.2">
      <c r="A593" s="71"/>
      <c r="B593" s="136"/>
      <c r="C593" s="136"/>
      <c r="D593" s="136"/>
      <c r="E593" s="136"/>
      <c r="F593" s="71"/>
      <c r="G593" s="136"/>
      <c r="H593" s="136"/>
      <c r="I593" s="136"/>
      <c r="J593" s="136"/>
      <c r="K593" s="335"/>
      <c r="L593" s="335"/>
      <c r="M593" s="49" t="s">
        <v>12</v>
      </c>
      <c r="N593" s="61"/>
      <c r="O593" s="62"/>
      <c r="P593" s="136"/>
      <c r="Q593" s="136"/>
      <c r="R593" s="319"/>
      <c r="S593" s="257"/>
      <c r="T593" s="268"/>
    </row>
    <row r="594" spans="1:20" s="269" customFormat="1" ht="10.199999999999999" x14ac:dyDescent="0.2">
      <c r="A594" s="71"/>
      <c r="B594" s="136"/>
      <c r="C594" s="136"/>
      <c r="D594" s="136"/>
      <c r="E594" s="136"/>
      <c r="F594" s="71"/>
      <c r="G594" s="136"/>
      <c r="H594" s="136"/>
      <c r="I594" s="136"/>
      <c r="J594" s="136"/>
      <c r="K594" s="335"/>
      <c r="L594" s="335"/>
      <c r="M594" s="49" t="s">
        <v>13</v>
      </c>
      <c r="N594" s="61"/>
      <c r="O594" s="62"/>
      <c r="P594" s="136"/>
      <c r="Q594" s="136"/>
      <c r="R594" s="319"/>
      <c r="S594" s="257"/>
      <c r="T594" s="268"/>
    </row>
    <row r="595" spans="1:20" s="269" customFormat="1" ht="10.199999999999999" x14ac:dyDescent="0.2">
      <c r="A595" s="71"/>
      <c r="B595" s="136"/>
      <c r="C595" s="136"/>
      <c r="D595" s="136"/>
      <c r="E595" s="136"/>
      <c r="F595" s="71"/>
      <c r="G595" s="136"/>
      <c r="H595" s="136"/>
      <c r="I595" s="136"/>
      <c r="J595" s="136"/>
      <c r="K595" s="335"/>
      <c r="L595" s="335"/>
      <c r="M595" s="49" t="s">
        <v>14</v>
      </c>
      <c r="N595" s="61"/>
      <c r="O595" s="62"/>
      <c r="P595" s="136"/>
      <c r="Q595" s="136"/>
      <c r="R595" s="319"/>
      <c r="S595" s="257"/>
      <c r="T595" s="268"/>
    </row>
    <row r="596" spans="1:20" s="269" customFormat="1" ht="10.199999999999999" x14ac:dyDescent="0.2">
      <c r="A596" s="87"/>
      <c r="B596" s="137"/>
      <c r="C596" s="137"/>
      <c r="D596" s="137"/>
      <c r="E596" s="137"/>
      <c r="F596" s="87"/>
      <c r="G596" s="137"/>
      <c r="H596" s="137"/>
      <c r="I596" s="137"/>
      <c r="J596" s="137"/>
      <c r="K596" s="335"/>
      <c r="L596" s="335"/>
      <c r="M596" s="295" t="s">
        <v>533</v>
      </c>
      <c r="N596" s="24">
        <v>349.07</v>
      </c>
      <c r="O596" s="24">
        <v>349.07</v>
      </c>
      <c r="P596" s="137"/>
      <c r="Q596" s="137"/>
      <c r="R596" s="319"/>
      <c r="S596" s="257"/>
      <c r="T596" s="268"/>
    </row>
    <row r="597" spans="1:20" s="269" customFormat="1" ht="10.199999999999999" x14ac:dyDescent="0.2">
      <c r="A597" s="58">
        <f>A591+1</f>
        <v>93</v>
      </c>
      <c r="B597" s="95">
        <v>44698</v>
      </c>
      <c r="C597" s="95">
        <v>46523</v>
      </c>
      <c r="D597" s="58" t="s">
        <v>591</v>
      </c>
      <c r="E597" s="58" t="s">
        <v>300</v>
      </c>
      <c r="F597" s="58" t="s">
        <v>299</v>
      </c>
      <c r="G597" s="133" t="s">
        <v>70</v>
      </c>
      <c r="H597" s="58" t="s">
        <v>592</v>
      </c>
      <c r="I597" s="58" t="s">
        <v>71</v>
      </c>
      <c r="J597" s="58">
        <v>103.9</v>
      </c>
      <c r="K597" s="111">
        <f>S597*6</f>
        <v>8135.3700000000008</v>
      </c>
      <c r="L597" s="111">
        <f>S597*3</f>
        <v>4067.6850000000004</v>
      </c>
      <c r="M597" s="49" t="s">
        <v>10</v>
      </c>
      <c r="N597" s="79" t="s">
        <v>457</v>
      </c>
      <c r="O597" s="60"/>
      <c r="P597" s="133" t="s">
        <v>70</v>
      </c>
      <c r="Q597" s="135"/>
      <c r="R597" s="319"/>
      <c r="S597" s="257">
        <f>(14.5*J597*1.2*(1+1.2+0.3)*0.3)</f>
        <v>1355.8950000000002</v>
      </c>
      <c r="T597" s="268"/>
    </row>
    <row r="598" spans="1:20" s="269" customFormat="1" ht="20.399999999999999" x14ac:dyDescent="0.2">
      <c r="A598" s="71"/>
      <c r="B598" s="136"/>
      <c r="C598" s="136"/>
      <c r="D598" s="136"/>
      <c r="E598" s="136"/>
      <c r="F598" s="71"/>
      <c r="G598" s="136"/>
      <c r="H598" s="136"/>
      <c r="I598" s="136"/>
      <c r="J598" s="136"/>
      <c r="K598" s="335"/>
      <c r="L598" s="335"/>
      <c r="M598" s="49" t="s">
        <v>11</v>
      </c>
      <c r="N598" s="61"/>
      <c r="O598" s="62"/>
      <c r="P598" s="136"/>
      <c r="Q598" s="136"/>
      <c r="R598" s="319"/>
      <c r="S598" s="257"/>
      <c r="T598" s="268"/>
    </row>
    <row r="599" spans="1:20" s="269" customFormat="1" ht="10.199999999999999" x14ac:dyDescent="0.2">
      <c r="A599" s="71"/>
      <c r="B599" s="136"/>
      <c r="C599" s="136"/>
      <c r="D599" s="136"/>
      <c r="E599" s="136"/>
      <c r="F599" s="71"/>
      <c r="G599" s="136"/>
      <c r="H599" s="136"/>
      <c r="I599" s="136"/>
      <c r="J599" s="136"/>
      <c r="K599" s="335"/>
      <c r="L599" s="335"/>
      <c r="M599" s="49" t="s">
        <v>12</v>
      </c>
      <c r="N599" s="61"/>
      <c r="O599" s="62"/>
      <c r="P599" s="136"/>
      <c r="Q599" s="136"/>
      <c r="R599" s="319"/>
      <c r="S599" s="257"/>
      <c r="T599" s="268"/>
    </row>
    <row r="600" spans="1:20" s="269" customFormat="1" ht="10.199999999999999" x14ac:dyDescent="0.2">
      <c r="A600" s="71"/>
      <c r="B600" s="136"/>
      <c r="C600" s="136"/>
      <c r="D600" s="136"/>
      <c r="E600" s="136"/>
      <c r="F600" s="71"/>
      <c r="G600" s="136"/>
      <c r="H600" s="136"/>
      <c r="I600" s="136"/>
      <c r="J600" s="136"/>
      <c r="K600" s="335"/>
      <c r="L600" s="335"/>
      <c r="M600" s="49" t="s">
        <v>13</v>
      </c>
      <c r="N600" s="61"/>
      <c r="O600" s="62"/>
      <c r="P600" s="136"/>
      <c r="Q600" s="136"/>
      <c r="R600" s="319"/>
      <c r="S600" s="257"/>
      <c r="T600" s="268"/>
    </row>
    <row r="601" spans="1:20" s="269" customFormat="1" ht="10.199999999999999" x14ac:dyDescent="0.2">
      <c r="A601" s="71"/>
      <c r="B601" s="136"/>
      <c r="C601" s="136"/>
      <c r="D601" s="136"/>
      <c r="E601" s="136"/>
      <c r="F601" s="71"/>
      <c r="G601" s="136"/>
      <c r="H601" s="136"/>
      <c r="I601" s="136"/>
      <c r="J601" s="136"/>
      <c r="K601" s="335"/>
      <c r="L601" s="335"/>
      <c r="M601" s="49" t="s">
        <v>14</v>
      </c>
      <c r="N601" s="61"/>
      <c r="O601" s="62"/>
      <c r="P601" s="136"/>
      <c r="Q601" s="136"/>
      <c r="R601" s="319"/>
      <c r="S601" s="257"/>
      <c r="T601" s="268"/>
    </row>
    <row r="602" spans="1:20" s="269" customFormat="1" x14ac:dyDescent="0.2">
      <c r="A602" s="87"/>
      <c r="B602" s="137"/>
      <c r="C602" s="137"/>
      <c r="D602" s="137"/>
      <c r="E602" s="137"/>
      <c r="F602" s="87"/>
      <c r="G602" s="137"/>
      <c r="H602" s="137"/>
      <c r="I602" s="137"/>
      <c r="J602" s="137"/>
      <c r="K602" s="335"/>
      <c r="L602" s="335"/>
      <c r="M602" s="295" t="s">
        <v>533</v>
      </c>
      <c r="N602" s="217" t="s">
        <v>485</v>
      </c>
      <c r="O602" s="218"/>
      <c r="P602" s="137"/>
      <c r="Q602" s="137"/>
      <c r="R602" s="319"/>
      <c r="S602" s="257"/>
      <c r="T602" s="268"/>
    </row>
    <row r="603" spans="1:20" s="269" customFormat="1" ht="10.199999999999999" x14ac:dyDescent="0.2">
      <c r="A603" s="58">
        <f>A597+1</f>
        <v>94</v>
      </c>
      <c r="B603" s="95">
        <v>44699</v>
      </c>
      <c r="C603" s="95">
        <v>46524</v>
      </c>
      <c r="D603" s="58" t="s">
        <v>488</v>
      </c>
      <c r="E603" s="58" t="s">
        <v>300</v>
      </c>
      <c r="F603" s="58" t="s">
        <v>299</v>
      </c>
      <c r="G603" s="58" t="s">
        <v>52</v>
      </c>
      <c r="H603" s="58" t="s">
        <v>394</v>
      </c>
      <c r="I603" s="58" t="s">
        <v>72</v>
      </c>
      <c r="J603" s="58">
        <v>69.400000000000006</v>
      </c>
      <c r="K603" s="111">
        <f>S603*6</f>
        <v>9660.4800000000014</v>
      </c>
      <c r="L603" s="111">
        <f>S603*3</f>
        <v>4830.2400000000007</v>
      </c>
      <c r="M603" s="49" t="s">
        <v>10</v>
      </c>
      <c r="N603" s="79" t="s">
        <v>457</v>
      </c>
      <c r="O603" s="60"/>
      <c r="P603" s="58" t="s">
        <v>52</v>
      </c>
      <c r="Q603" s="135"/>
      <c r="R603" s="319"/>
      <c r="S603" s="257">
        <f>14.5*J603*1*(1+0.1+0.9)*0.8</f>
        <v>1610.0800000000002</v>
      </c>
      <c r="T603" s="268"/>
    </row>
    <row r="604" spans="1:20" s="269" customFormat="1" ht="20.399999999999999" x14ac:dyDescent="0.2">
      <c r="A604" s="71"/>
      <c r="B604" s="136"/>
      <c r="C604" s="136"/>
      <c r="D604" s="136"/>
      <c r="E604" s="136"/>
      <c r="F604" s="71"/>
      <c r="G604" s="136"/>
      <c r="H604" s="136"/>
      <c r="I604" s="136"/>
      <c r="J604" s="136"/>
      <c r="K604" s="335"/>
      <c r="L604" s="335"/>
      <c r="M604" s="49" t="s">
        <v>11</v>
      </c>
      <c r="N604" s="61"/>
      <c r="O604" s="62"/>
      <c r="P604" s="136"/>
      <c r="Q604" s="136"/>
      <c r="R604" s="319"/>
      <c r="S604" s="257"/>
      <c r="T604" s="268"/>
    </row>
    <row r="605" spans="1:20" s="269" customFormat="1" ht="10.199999999999999" x14ac:dyDescent="0.2">
      <c r="A605" s="71"/>
      <c r="B605" s="136"/>
      <c r="C605" s="136"/>
      <c r="D605" s="136"/>
      <c r="E605" s="136"/>
      <c r="F605" s="71"/>
      <c r="G605" s="136"/>
      <c r="H605" s="136"/>
      <c r="I605" s="136"/>
      <c r="J605" s="136"/>
      <c r="K605" s="335"/>
      <c r="L605" s="335"/>
      <c r="M605" s="49" t="s">
        <v>12</v>
      </c>
      <c r="N605" s="61"/>
      <c r="O605" s="62"/>
      <c r="P605" s="136"/>
      <c r="Q605" s="136"/>
      <c r="R605" s="319"/>
      <c r="S605" s="257"/>
      <c r="T605" s="268"/>
    </row>
    <row r="606" spans="1:20" s="269" customFormat="1" ht="10.199999999999999" x14ac:dyDescent="0.2">
      <c r="A606" s="71"/>
      <c r="B606" s="136"/>
      <c r="C606" s="136"/>
      <c r="D606" s="136"/>
      <c r="E606" s="136"/>
      <c r="F606" s="71"/>
      <c r="G606" s="136"/>
      <c r="H606" s="136"/>
      <c r="I606" s="136"/>
      <c r="J606" s="136"/>
      <c r="K606" s="335"/>
      <c r="L606" s="335"/>
      <c r="M606" s="49" t="s">
        <v>13</v>
      </c>
      <c r="N606" s="61"/>
      <c r="O606" s="62"/>
      <c r="P606" s="136"/>
      <c r="Q606" s="136"/>
      <c r="R606" s="319"/>
      <c r="S606" s="257"/>
      <c r="T606" s="268"/>
    </row>
    <row r="607" spans="1:20" s="269" customFormat="1" ht="10.199999999999999" x14ac:dyDescent="0.2">
      <c r="A607" s="71"/>
      <c r="B607" s="136"/>
      <c r="C607" s="136"/>
      <c r="D607" s="136"/>
      <c r="E607" s="136"/>
      <c r="F607" s="71"/>
      <c r="G607" s="136"/>
      <c r="H607" s="136"/>
      <c r="I607" s="136"/>
      <c r="J607" s="136"/>
      <c r="K607" s="335"/>
      <c r="L607" s="335"/>
      <c r="M607" s="49" t="s">
        <v>14</v>
      </c>
      <c r="N607" s="61"/>
      <c r="O607" s="62"/>
      <c r="P607" s="136"/>
      <c r="Q607" s="136"/>
      <c r="R607" s="319"/>
      <c r="S607" s="257"/>
      <c r="T607" s="268"/>
    </row>
    <row r="608" spans="1:20" s="269" customFormat="1" ht="10.199999999999999" x14ac:dyDescent="0.2">
      <c r="A608" s="87"/>
      <c r="B608" s="137"/>
      <c r="C608" s="137"/>
      <c r="D608" s="137"/>
      <c r="E608" s="137"/>
      <c r="F608" s="87"/>
      <c r="G608" s="137"/>
      <c r="H608" s="137"/>
      <c r="I608" s="137"/>
      <c r="J608" s="137"/>
      <c r="K608" s="335"/>
      <c r="L608" s="335"/>
      <c r="M608" s="295" t="s">
        <v>533</v>
      </c>
      <c r="N608" s="35">
        <v>96.47</v>
      </c>
      <c r="O608" s="29">
        <v>96.47</v>
      </c>
      <c r="P608" s="137"/>
      <c r="Q608" s="137"/>
      <c r="R608" s="319"/>
      <c r="S608" s="257"/>
      <c r="T608" s="268"/>
    </row>
    <row r="609" spans="1:20" s="269" customFormat="1" ht="10.199999999999999" x14ac:dyDescent="0.2">
      <c r="A609" s="58">
        <f>A603+1</f>
        <v>95</v>
      </c>
      <c r="B609" s="95">
        <v>45037</v>
      </c>
      <c r="C609" s="95">
        <v>45480</v>
      </c>
      <c r="D609" s="58" t="s">
        <v>667</v>
      </c>
      <c r="E609" s="58" t="s">
        <v>300</v>
      </c>
      <c r="F609" s="58" t="s">
        <v>299</v>
      </c>
      <c r="G609" s="58" t="s">
        <v>89</v>
      </c>
      <c r="H609" s="58" t="s">
        <v>395</v>
      </c>
      <c r="I609" s="58" t="s">
        <v>90</v>
      </c>
      <c r="J609" s="58">
        <v>219.3</v>
      </c>
      <c r="K609" s="59">
        <f>S609*6</f>
        <v>7631.6400000000012</v>
      </c>
      <c r="L609" s="59">
        <f>S609*3</f>
        <v>3815.8200000000006</v>
      </c>
      <c r="M609" s="49" t="s">
        <v>10</v>
      </c>
      <c r="N609" s="79" t="s">
        <v>457</v>
      </c>
      <c r="O609" s="60"/>
      <c r="P609" s="58" t="s">
        <v>89</v>
      </c>
      <c r="Q609" s="135"/>
      <c r="R609" s="319"/>
      <c r="S609" s="257">
        <f>14.5*J609*1*(1+0.1+0.9)*0.2</f>
        <v>1271.9400000000003</v>
      </c>
      <c r="T609" s="268"/>
    </row>
    <row r="610" spans="1:20" s="269" customFormat="1" ht="20.399999999999999" x14ac:dyDescent="0.2">
      <c r="A610" s="71"/>
      <c r="B610" s="125"/>
      <c r="C610" s="71"/>
      <c r="D610" s="71"/>
      <c r="E610" s="71"/>
      <c r="F610" s="71"/>
      <c r="G610" s="71"/>
      <c r="H610" s="251"/>
      <c r="I610" s="71"/>
      <c r="J610" s="293"/>
      <c r="K610" s="341"/>
      <c r="L610" s="341"/>
      <c r="M610" s="49" t="s">
        <v>11</v>
      </c>
      <c r="N610" s="61"/>
      <c r="O610" s="62"/>
      <c r="P610" s="71"/>
      <c r="Q610" s="136"/>
      <c r="R610" s="319"/>
      <c r="S610" s="257"/>
      <c r="T610" s="268"/>
    </row>
    <row r="611" spans="1:20" s="269" customFormat="1" ht="10.199999999999999" x14ac:dyDescent="0.2">
      <c r="A611" s="71"/>
      <c r="B611" s="136"/>
      <c r="C611" s="136"/>
      <c r="D611" s="136"/>
      <c r="E611" s="136"/>
      <c r="F611" s="71"/>
      <c r="G611" s="136"/>
      <c r="H611" s="251"/>
      <c r="I611" s="136"/>
      <c r="J611" s="293"/>
      <c r="K611" s="341"/>
      <c r="L611" s="341"/>
      <c r="M611" s="49" t="s">
        <v>12</v>
      </c>
      <c r="N611" s="61"/>
      <c r="O611" s="62"/>
      <c r="P611" s="136"/>
      <c r="Q611" s="136"/>
      <c r="R611" s="319"/>
      <c r="S611" s="257"/>
      <c r="T611" s="268"/>
    </row>
    <row r="612" spans="1:20" s="269" customFormat="1" ht="10.199999999999999" x14ac:dyDescent="0.2">
      <c r="A612" s="71"/>
      <c r="B612" s="136"/>
      <c r="C612" s="136"/>
      <c r="D612" s="136"/>
      <c r="E612" s="136"/>
      <c r="F612" s="71"/>
      <c r="G612" s="136"/>
      <c r="H612" s="251"/>
      <c r="I612" s="136"/>
      <c r="J612" s="293"/>
      <c r="K612" s="341"/>
      <c r="L612" s="341"/>
      <c r="M612" s="49" t="s">
        <v>13</v>
      </c>
      <c r="N612" s="61"/>
      <c r="O612" s="62"/>
      <c r="P612" s="136"/>
      <c r="Q612" s="136"/>
      <c r="R612" s="319"/>
      <c r="S612" s="257"/>
      <c r="T612" s="268"/>
    </row>
    <row r="613" spans="1:20" s="269" customFormat="1" ht="10.199999999999999" x14ac:dyDescent="0.2">
      <c r="A613" s="71"/>
      <c r="B613" s="136"/>
      <c r="C613" s="136"/>
      <c r="D613" s="136"/>
      <c r="E613" s="136"/>
      <c r="F613" s="71"/>
      <c r="G613" s="136"/>
      <c r="H613" s="251"/>
      <c r="I613" s="136"/>
      <c r="J613" s="293"/>
      <c r="K613" s="341"/>
      <c r="L613" s="341"/>
      <c r="M613" s="51" t="s">
        <v>14</v>
      </c>
      <c r="N613" s="61"/>
      <c r="O613" s="62"/>
      <c r="P613" s="136"/>
      <c r="Q613" s="136"/>
      <c r="R613" s="319"/>
      <c r="S613" s="257"/>
      <c r="T613" s="268"/>
    </row>
    <row r="614" spans="1:20" s="269" customFormat="1" ht="10.199999999999999" x14ac:dyDescent="0.2">
      <c r="A614" s="87"/>
      <c r="B614" s="137"/>
      <c r="C614" s="137"/>
      <c r="D614" s="137"/>
      <c r="E614" s="137"/>
      <c r="F614" s="87"/>
      <c r="G614" s="137"/>
      <c r="H614" s="254"/>
      <c r="I614" s="137"/>
      <c r="J614" s="289"/>
      <c r="K614" s="341"/>
      <c r="L614" s="341"/>
      <c r="M614" s="336" t="s">
        <v>533</v>
      </c>
      <c r="N614" s="24">
        <v>1044</v>
      </c>
      <c r="O614" s="24">
        <v>496.61</v>
      </c>
      <c r="P614" s="137"/>
      <c r="Q614" s="137"/>
      <c r="R614" s="319"/>
      <c r="S614" s="257"/>
      <c r="T614" s="268"/>
    </row>
    <row r="615" spans="1:20" s="269" customFormat="1" ht="10.199999999999999" x14ac:dyDescent="0.2">
      <c r="A615" s="58">
        <f>A609+1</f>
        <v>96</v>
      </c>
      <c r="B615" s="95">
        <v>45001</v>
      </c>
      <c r="C615" s="95">
        <v>46754</v>
      </c>
      <c r="D615" s="58" t="s">
        <v>593</v>
      </c>
      <c r="E615" s="58" t="s">
        <v>300</v>
      </c>
      <c r="F615" s="58" t="s">
        <v>299</v>
      </c>
      <c r="G615" s="58" t="s">
        <v>91</v>
      </c>
      <c r="H615" s="58" t="s">
        <v>396</v>
      </c>
      <c r="I615" s="58" t="s">
        <v>92</v>
      </c>
      <c r="J615" s="58">
        <v>115.7</v>
      </c>
      <c r="K615" s="111">
        <f>S615*6</f>
        <v>4871.8956000000017</v>
      </c>
      <c r="L615" s="111">
        <f>S615*3</f>
        <v>2435.9478000000008</v>
      </c>
      <c r="M615" s="49" t="s">
        <v>10</v>
      </c>
      <c r="N615" s="79" t="s">
        <v>457</v>
      </c>
      <c r="O615" s="60"/>
      <c r="P615" s="58" t="s">
        <v>91</v>
      </c>
      <c r="Q615" s="135"/>
      <c r="R615" s="319"/>
      <c r="S615" s="257">
        <f>14.5*J615*1.1*(1+0.1+1.1)*0.2</f>
        <v>811.98260000000028</v>
      </c>
      <c r="T615" s="268"/>
    </row>
    <row r="616" spans="1:20" s="269" customFormat="1" ht="20.399999999999999" x14ac:dyDescent="0.2">
      <c r="A616" s="71"/>
      <c r="B616" s="136"/>
      <c r="C616" s="71"/>
      <c r="D616" s="136"/>
      <c r="E616" s="71"/>
      <c r="F616" s="71"/>
      <c r="G616" s="136"/>
      <c r="H616" s="136"/>
      <c r="I616" s="136"/>
      <c r="J616" s="136"/>
      <c r="K616" s="111"/>
      <c r="L616" s="111"/>
      <c r="M616" s="49" t="s">
        <v>11</v>
      </c>
      <c r="N616" s="61"/>
      <c r="O616" s="62"/>
      <c r="P616" s="136"/>
      <c r="Q616" s="136"/>
      <c r="R616" s="319"/>
      <c r="S616" s="257"/>
      <c r="T616" s="268"/>
    </row>
    <row r="617" spans="1:20" s="269" customFormat="1" ht="10.199999999999999" x14ac:dyDescent="0.2">
      <c r="A617" s="71"/>
      <c r="B617" s="136"/>
      <c r="C617" s="71"/>
      <c r="D617" s="136"/>
      <c r="E617" s="136"/>
      <c r="F617" s="71"/>
      <c r="G617" s="136"/>
      <c r="H617" s="136"/>
      <c r="I617" s="136"/>
      <c r="J617" s="136"/>
      <c r="K617" s="111"/>
      <c r="L617" s="111"/>
      <c r="M617" s="49" t="s">
        <v>12</v>
      </c>
      <c r="N617" s="61"/>
      <c r="O617" s="62"/>
      <c r="P617" s="136"/>
      <c r="Q617" s="136"/>
      <c r="R617" s="319"/>
      <c r="S617" s="257"/>
      <c r="T617" s="268"/>
    </row>
    <row r="618" spans="1:20" s="269" customFormat="1" ht="10.199999999999999" x14ac:dyDescent="0.2">
      <c r="A618" s="71"/>
      <c r="B618" s="136"/>
      <c r="C618" s="71"/>
      <c r="D618" s="136"/>
      <c r="E618" s="136"/>
      <c r="F618" s="71"/>
      <c r="G618" s="136"/>
      <c r="H618" s="136"/>
      <c r="I618" s="136"/>
      <c r="J618" s="136"/>
      <c r="K618" s="111"/>
      <c r="L618" s="111"/>
      <c r="M618" s="49" t="s">
        <v>13</v>
      </c>
      <c r="N618" s="61"/>
      <c r="O618" s="62"/>
      <c r="P618" s="136"/>
      <c r="Q618" s="136"/>
      <c r="R618" s="319"/>
      <c r="S618" s="257"/>
      <c r="T618" s="268"/>
    </row>
    <row r="619" spans="1:20" s="269" customFormat="1" ht="10.199999999999999" x14ac:dyDescent="0.2">
      <c r="A619" s="71"/>
      <c r="B619" s="136"/>
      <c r="C619" s="71"/>
      <c r="D619" s="136"/>
      <c r="E619" s="136"/>
      <c r="F619" s="71"/>
      <c r="G619" s="136"/>
      <c r="H619" s="136"/>
      <c r="I619" s="136"/>
      <c r="J619" s="136"/>
      <c r="K619" s="111"/>
      <c r="L619" s="111"/>
      <c r="M619" s="49" t="s">
        <v>14</v>
      </c>
      <c r="N619" s="61"/>
      <c r="O619" s="62"/>
      <c r="P619" s="136"/>
      <c r="Q619" s="136"/>
      <c r="R619" s="319"/>
      <c r="S619" s="257"/>
      <c r="T619" s="268"/>
    </row>
    <row r="620" spans="1:20" s="269" customFormat="1" ht="10.199999999999999" x14ac:dyDescent="0.2">
      <c r="A620" s="87"/>
      <c r="B620" s="137"/>
      <c r="C620" s="87"/>
      <c r="D620" s="137"/>
      <c r="E620" s="137"/>
      <c r="F620" s="87"/>
      <c r="G620" s="137"/>
      <c r="H620" s="137"/>
      <c r="I620" s="137"/>
      <c r="J620" s="137"/>
      <c r="K620" s="111"/>
      <c r="L620" s="111"/>
      <c r="M620" s="295" t="s">
        <v>533</v>
      </c>
      <c r="N620" s="24">
        <v>167.8</v>
      </c>
      <c r="O620" s="24">
        <v>155.04</v>
      </c>
      <c r="P620" s="137"/>
      <c r="Q620" s="137"/>
      <c r="R620" s="319"/>
      <c r="S620" s="257"/>
      <c r="T620" s="268"/>
    </row>
    <row r="621" spans="1:20" s="269" customFormat="1" ht="10.199999999999999" x14ac:dyDescent="0.2">
      <c r="A621" s="58">
        <f>A615+1</f>
        <v>97</v>
      </c>
      <c r="B621" s="70">
        <v>44258</v>
      </c>
      <c r="C621" s="70">
        <v>45323</v>
      </c>
      <c r="D621" s="110" t="s">
        <v>117</v>
      </c>
      <c r="E621" s="58" t="s">
        <v>300</v>
      </c>
      <c r="F621" s="58" t="s">
        <v>299</v>
      </c>
      <c r="G621" s="110" t="s">
        <v>452</v>
      </c>
      <c r="H621" s="110" t="s">
        <v>640</v>
      </c>
      <c r="I621" s="110" t="s">
        <v>119</v>
      </c>
      <c r="J621" s="123">
        <v>20.100000000000001</v>
      </c>
      <c r="K621" s="111">
        <f>S621*6</f>
        <v>4056.9840000000013</v>
      </c>
      <c r="L621" s="111">
        <f>S621*3</f>
        <v>2028.4920000000006</v>
      </c>
      <c r="M621" s="49" t="s">
        <v>10</v>
      </c>
      <c r="N621" s="79" t="s">
        <v>457</v>
      </c>
      <c r="O621" s="60"/>
      <c r="P621" s="110" t="s">
        <v>452</v>
      </c>
      <c r="Q621" s="135"/>
      <c r="R621" s="319"/>
      <c r="S621" s="257">
        <f>14.5*J621*1*(1+1.2+0.7)*0.8</f>
        <v>676.16400000000021</v>
      </c>
      <c r="T621" s="268"/>
    </row>
    <row r="622" spans="1:20" s="269" customFormat="1" ht="20.399999999999999" x14ac:dyDescent="0.2">
      <c r="A622" s="71"/>
      <c r="B622" s="136"/>
      <c r="C622" s="136"/>
      <c r="D622" s="136"/>
      <c r="E622" s="71"/>
      <c r="F622" s="71"/>
      <c r="G622" s="71"/>
      <c r="H622" s="136"/>
      <c r="I622" s="136"/>
      <c r="J622" s="136"/>
      <c r="K622" s="111"/>
      <c r="L622" s="111"/>
      <c r="M622" s="49" t="s">
        <v>11</v>
      </c>
      <c r="N622" s="61"/>
      <c r="O622" s="62"/>
      <c r="P622" s="71"/>
      <c r="Q622" s="136"/>
      <c r="R622" s="319"/>
      <c r="S622" s="257"/>
      <c r="T622" s="268"/>
    </row>
    <row r="623" spans="1:20" s="269" customFormat="1" ht="10.199999999999999" x14ac:dyDescent="0.2">
      <c r="A623" s="71"/>
      <c r="B623" s="136"/>
      <c r="C623" s="136"/>
      <c r="D623" s="136"/>
      <c r="E623" s="136"/>
      <c r="F623" s="71"/>
      <c r="G623" s="71"/>
      <c r="H623" s="136"/>
      <c r="I623" s="136"/>
      <c r="J623" s="136"/>
      <c r="K623" s="111"/>
      <c r="L623" s="111"/>
      <c r="M623" s="49" t="s">
        <v>12</v>
      </c>
      <c r="N623" s="61"/>
      <c r="O623" s="62"/>
      <c r="P623" s="71"/>
      <c r="Q623" s="136"/>
      <c r="R623" s="319"/>
      <c r="S623" s="257"/>
      <c r="T623" s="268"/>
    </row>
    <row r="624" spans="1:20" s="269" customFormat="1" ht="10.199999999999999" x14ac:dyDescent="0.2">
      <c r="A624" s="71"/>
      <c r="B624" s="136"/>
      <c r="C624" s="136"/>
      <c r="D624" s="136"/>
      <c r="E624" s="136"/>
      <c r="F624" s="71"/>
      <c r="G624" s="71"/>
      <c r="H624" s="136"/>
      <c r="I624" s="136"/>
      <c r="J624" s="136"/>
      <c r="K624" s="111"/>
      <c r="L624" s="111"/>
      <c r="M624" s="49" t="s">
        <v>13</v>
      </c>
      <c r="N624" s="61"/>
      <c r="O624" s="62"/>
      <c r="P624" s="71"/>
      <c r="Q624" s="136"/>
      <c r="R624" s="319"/>
      <c r="S624" s="257"/>
      <c r="T624" s="268"/>
    </row>
    <row r="625" spans="1:20" s="269" customFormat="1" ht="10.199999999999999" x14ac:dyDescent="0.2">
      <c r="A625" s="71"/>
      <c r="B625" s="136"/>
      <c r="C625" s="136"/>
      <c r="D625" s="136"/>
      <c r="E625" s="136"/>
      <c r="F625" s="71"/>
      <c r="G625" s="71"/>
      <c r="H625" s="136"/>
      <c r="I625" s="136"/>
      <c r="J625" s="136"/>
      <c r="K625" s="111"/>
      <c r="L625" s="111"/>
      <c r="M625" s="49" t="s">
        <v>14</v>
      </c>
      <c r="N625" s="80"/>
      <c r="O625" s="81"/>
      <c r="P625" s="71"/>
      <c r="Q625" s="136"/>
      <c r="R625" s="319"/>
      <c r="S625" s="257"/>
      <c r="T625" s="268"/>
    </row>
    <row r="626" spans="1:20" s="269" customFormat="1" ht="10.199999999999999" x14ac:dyDescent="0.2">
      <c r="A626" s="87"/>
      <c r="B626" s="137"/>
      <c r="C626" s="137"/>
      <c r="D626" s="137"/>
      <c r="E626" s="137"/>
      <c r="F626" s="87"/>
      <c r="G626" s="87"/>
      <c r="H626" s="137"/>
      <c r="I626" s="137"/>
      <c r="J626" s="137"/>
      <c r="K626" s="111"/>
      <c r="L626" s="111"/>
      <c r="M626" s="295" t="s">
        <v>533</v>
      </c>
      <c r="N626" s="50">
        <v>27.93</v>
      </c>
      <c r="O626" s="50">
        <v>27.93</v>
      </c>
      <c r="P626" s="87"/>
      <c r="Q626" s="137"/>
      <c r="R626" s="319"/>
      <c r="S626" s="257"/>
      <c r="T626" s="268"/>
    </row>
    <row r="627" spans="1:20" s="269" customFormat="1" ht="10.199999999999999" x14ac:dyDescent="0.2">
      <c r="A627" s="89">
        <f>A621+1</f>
        <v>98</v>
      </c>
      <c r="B627" s="134">
        <v>44354</v>
      </c>
      <c r="C627" s="134">
        <v>45449</v>
      </c>
      <c r="D627" s="89" t="s">
        <v>138</v>
      </c>
      <c r="E627" s="89" t="s">
        <v>300</v>
      </c>
      <c r="F627" s="89" t="s">
        <v>299</v>
      </c>
      <c r="G627" s="89" t="s">
        <v>453</v>
      </c>
      <c r="H627" s="89" t="s">
        <v>397</v>
      </c>
      <c r="I627" s="89" t="s">
        <v>139</v>
      </c>
      <c r="J627" s="89">
        <v>65</v>
      </c>
      <c r="K627" s="111">
        <f>S627*6</f>
        <v>6786</v>
      </c>
      <c r="L627" s="111">
        <f>S627*3</f>
        <v>3393</v>
      </c>
      <c r="M627" s="49" t="s">
        <v>10</v>
      </c>
      <c r="N627" s="79" t="s">
        <v>457</v>
      </c>
      <c r="O627" s="60"/>
      <c r="P627" s="89" t="s">
        <v>453</v>
      </c>
      <c r="Q627" s="193"/>
      <c r="R627" s="319"/>
      <c r="S627" s="257">
        <f>14.5*J627*1*(1+0.1+0.9)*0.6</f>
        <v>1131</v>
      </c>
      <c r="T627" s="268"/>
    </row>
    <row r="628" spans="1:20" s="269" customFormat="1" ht="20.399999999999999" x14ac:dyDescent="0.2">
      <c r="A628" s="89"/>
      <c r="B628" s="193"/>
      <c r="C628" s="193"/>
      <c r="D628" s="193"/>
      <c r="E628" s="89"/>
      <c r="F628" s="89"/>
      <c r="G628" s="193"/>
      <c r="H628" s="193"/>
      <c r="I628" s="193"/>
      <c r="J628" s="193"/>
      <c r="K628" s="111"/>
      <c r="L628" s="111"/>
      <c r="M628" s="49" t="s">
        <v>11</v>
      </c>
      <c r="N628" s="61"/>
      <c r="O628" s="62"/>
      <c r="P628" s="193"/>
      <c r="Q628" s="193"/>
      <c r="R628" s="319"/>
      <c r="S628" s="257"/>
      <c r="T628" s="268"/>
    </row>
    <row r="629" spans="1:20" s="269" customFormat="1" ht="10.199999999999999" x14ac:dyDescent="0.2">
      <c r="A629" s="89"/>
      <c r="B629" s="193"/>
      <c r="C629" s="193"/>
      <c r="D629" s="193"/>
      <c r="E629" s="193"/>
      <c r="F629" s="89"/>
      <c r="G629" s="193"/>
      <c r="H629" s="193"/>
      <c r="I629" s="193"/>
      <c r="J629" s="193"/>
      <c r="K629" s="111"/>
      <c r="L629" s="111"/>
      <c r="M629" s="49" t="s">
        <v>12</v>
      </c>
      <c r="N629" s="61"/>
      <c r="O629" s="62"/>
      <c r="P629" s="193"/>
      <c r="Q629" s="193"/>
      <c r="R629" s="319"/>
      <c r="S629" s="257"/>
      <c r="T629" s="268"/>
    </row>
    <row r="630" spans="1:20" s="269" customFormat="1" ht="10.199999999999999" x14ac:dyDescent="0.2">
      <c r="A630" s="89"/>
      <c r="B630" s="193"/>
      <c r="C630" s="193"/>
      <c r="D630" s="193"/>
      <c r="E630" s="193"/>
      <c r="F630" s="89"/>
      <c r="G630" s="193"/>
      <c r="H630" s="193"/>
      <c r="I630" s="193"/>
      <c r="J630" s="193"/>
      <c r="K630" s="111"/>
      <c r="L630" s="111"/>
      <c r="M630" s="49" t="s">
        <v>13</v>
      </c>
      <c r="N630" s="61"/>
      <c r="O630" s="62"/>
      <c r="P630" s="193"/>
      <c r="Q630" s="193"/>
      <c r="R630" s="319"/>
      <c r="S630" s="257"/>
      <c r="T630" s="268"/>
    </row>
    <row r="631" spans="1:20" s="269" customFormat="1" ht="10.199999999999999" x14ac:dyDescent="0.2">
      <c r="A631" s="89"/>
      <c r="B631" s="193"/>
      <c r="C631" s="193"/>
      <c r="D631" s="193"/>
      <c r="E631" s="193"/>
      <c r="F631" s="89"/>
      <c r="G631" s="193"/>
      <c r="H631" s="193"/>
      <c r="I631" s="193"/>
      <c r="J631" s="193"/>
      <c r="K631" s="111"/>
      <c r="L631" s="111"/>
      <c r="M631" s="49" t="s">
        <v>14</v>
      </c>
      <c r="N631" s="80"/>
      <c r="O631" s="81"/>
      <c r="P631" s="193"/>
      <c r="Q631" s="193"/>
      <c r="R631" s="319"/>
      <c r="S631" s="257"/>
      <c r="T631" s="268"/>
    </row>
    <row r="632" spans="1:20" s="269" customFormat="1" ht="10.199999999999999" x14ac:dyDescent="0.2">
      <c r="A632" s="89"/>
      <c r="B632" s="193"/>
      <c r="C632" s="193"/>
      <c r="D632" s="193"/>
      <c r="E632" s="193"/>
      <c r="F632" s="89"/>
      <c r="G632" s="193"/>
      <c r="H632" s="193"/>
      <c r="I632" s="193"/>
      <c r="J632" s="193"/>
      <c r="K632" s="111"/>
      <c r="L632" s="111"/>
      <c r="M632" s="336" t="s">
        <v>533</v>
      </c>
      <c r="N632" s="24">
        <v>2120.8000000000002</v>
      </c>
      <c r="O632" s="50">
        <v>147.19</v>
      </c>
      <c r="P632" s="193"/>
      <c r="Q632" s="193"/>
      <c r="R632" s="319"/>
      <c r="S632" s="257"/>
      <c r="T632" s="268"/>
    </row>
    <row r="633" spans="1:20" s="269" customFormat="1" ht="10.199999999999999" x14ac:dyDescent="0.2">
      <c r="A633" s="89">
        <f>A627+1</f>
        <v>99</v>
      </c>
      <c r="B633" s="88">
        <v>44363</v>
      </c>
      <c r="C633" s="88">
        <v>46188</v>
      </c>
      <c r="D633" s="90" t="s">
        <v>140</v>
      </c>
      <c r="E633" s="89" t="s">
        <v>300</v>
      </c>
      <c r="F633" s="89" t="s">
        <v>299</v>
      </c>
      <c r="G633" s="90" t="s">
        <v>450</v>
      </c>
      <c r="H633" s="90" t="s">
        <v>398</v>
      </c>
      <c r="I633" s="90" t="s">
        <v>141</v>
      </c>
      <c r="J633" s="91">
        <v>103.1</v>
      </c>
      <c r="K633" s="111">
        <f>S633*6</f>
        <v>40040.7408</v>
      </c>
      <c r="L633" s="111">
        <f>S633*3</f>
        <v>20020.3704</v>
      </c>
      <c r="M633" s="11" t="s">
        <v>10</v>
      </c>
      <c r="N633" s="292">
        <v>0</v>
      </c>
      <c r="O633" s="292">
        <v>0</v>
      </c>
      <c r="P633" s="90" t="s">
        <v>450</v>
      </c>
      <c r="Q633" s="193"/>
      <c r="R633" s="319"/>
      <c r="S633" s="257">
        <f>14.5*J633*1.2*(1+1.2+0.9)*1.2</f>
        <v>6673.4567999999999</v>
      </c>
      <c r="T633" s="268"/>
    </row>
    <row r="634" spans="1:20" s="269" customFormat="1" ht="20.399999999999999" x14ac:dyDescent="0.2">
      <c r="A634" s="89"/>
      <c r="B634" s="193"/>
      <c r="C634" s="193"/>
      <c r="D634" s="193"/>
      <c r="E634" s="89"/>
      <c r="F634" s="89"/>
      <c r="G634" s="193"/>
      <c r="H634" s="193"/>
      <c r="I634" s="193"/>
      <c r="J634" s="193"/>
      <c r="K634" s="111"/>
      <c r="L634" s="111"/>
      <c r="M634" s="49" t="s">
        <v>11</v>
      </c>
      <c r="N634" s="24">
        <v>0</v>
      </c>
      <c r="O634" s="24">
        <v>0</v>
      </c>
      <c r="P634" s="193"/>
      <c r="Q634" s="193"/>
      <c r="R634" s="319"/>
      <c r="S634" s="257"/>
      <c r="T634" s="268"/>
    </row>
    <row r="635" spans="1:20" s="269" customFormat="1" ht="10.199999999999999" x14ac:dyDescent="0.2">
      <c r="A635" s="89"/>
      <c r="B635" s="193"/>
      <c r="C635" s="193"/>
      <c r="D635" s="193"/>
      <c r="E635" s="193"/>
      <c r="F635" s="89"/>
      <c r="G635" s="193"/>
      <c r="H635" s="193"/>
      <c r="I635" s="193"/>
      <c r="J635" s="193"/>
      <c r="K635" s="111"/>
      <c r="L635" s="111"/>
      <c r="M635" s="49" t="s">
        <v>12</v>
      </c>
      <c r="N635" s="24">
        <v>0</v>
      </c>
      <c r="O635" s="24">
        <v>0</v>
      </c>
      <c r="P635" s="193"/>
      <c r="Q635" s="193"/>
      <c r="R635" s="319"/>
      <c r="S635" s="257"/>
      <c r="T635" s="268"/>
    </row>
    <row r="636" spans="1:20" s="269" customFormat="1" ht="10.199999999999999" x14ac:dyDescent="0.2">
      <c r="A636" s="89"/>
      <c r="B636" s="193"/>
      <c r="C636" s="193"/>
      <c r="D636" s="193"/>
      <c r="E636" s="193"/>
      <c r="F636" s="89"/>
      <c r="G636" s="193"/>
      <c r="H636" s="193"/>
      <c r="I636" s="193"/>
      <c r="J636" s="193"/>
      <c r="K636" s="111"/>
      <c r="L636" s="111"/>
      <c r="M636" s="49" t="s">
        <v>13</v>
      </c>
      <c r="N636" s="24">
        <v>0</v>
      </c>
      <c r="O636" s="24">
        <v>0</v>
      </c>
      <c r="P636" s="193"/>
      <c r="Q636" s="193"/>
      <c r="R636" s="319"/>
      <c r="S636" s="257"/>
      <c r="T636" s="268"/>
    </row>
    <row r="637" spans="1:20" s="269" customFormat="1" ht="10.199999999999999" x14ac:dyDescent="0.2">
      <c r="A637" s="89"/>
      <c r="B637" s="193"/>
      <c r="C637" s="193"/>
      <c r="D637" s="193"/>
      <c r="E637" s="193"/>
      <c r="F637" s="89"/>
      <c r="G637" s="193"/>
      <c r="H637" s="193"/>
      <c r="I637" s="193"/>
      <c r="J637" s="193"/>
      <c r="K637" s="111"/>
      <c r="L637" s="111"/>
      <c r="M637" s="49" t="s">
        <v>14</v>
      </c>
      <c r="N637" s="24">
        <v>0</v>
      </c>
      <c r="O637" s="24">
        <v>0</v>
      </c>
      <c r="P637" s="193"/>
      <c r="Q637" s="193"/>
      <c r="R637" s="319"/>
      <c r="S637" s="257"/>
      <c r="T637" s="268"/>
    </row>
    <row r="638" spans="1:20" s="269" customFormat="1" x14ac:dyDescent="0.2">
      <c r="A638" s="89"/>
      <c r="B638" s="193"/>
      <c r="C638" s="193"/>
      <c r="D638" s="193"/>
      <c r="E638" s="193"/>
      <c r="F638" s="89"/>
      <c r="G638" s="193"/>
      <c r="H638" s="193"/>
      <c r="I638" s="193"/>
      <c r="J638" s="193"/>
      <c r="K638" s="111"/>
      <c r="L638" s="111"/>
      <c r="M638" s="336" t="s">
        <v>533</v>
      </c>
      <c r="N638" s="217" t="s">
        <v>485</v>
      </c>
      <c r="O638" s="218"/>
      <c r="P638" s="193"/>
      <c r="Q638" s="193"/>
      <c r="R638" s="319"/>
      <c r="S638" s="257"/>
      <c r="T638" s="268"/>
    </row>
    <row r="639" spans="1:20" s="269" customFormat="1" ht="10.199999999999999" x14ac:dyDescent="0.2">
      <c r="A639" s="58">
        <f>A633+1</f>
        <v>100</v>
      </c>
      <c r="B639" s="95">
        <v>44314</v>
      </c>
      <c r="C639" s="95">
        <v>46140</v>
      </c>
      <c r="D639" s="58" t="s">
        <v>180</v>
      </c>
      <c r="E639" s="58" t="s">
        <v>444</v>
      </c>
      <c r="F639" s="58" t="s">
        <v>299</v>
      </c>
      <c r="G639" s="58" t="s">
        <v>451</v>
      </c>
      <c r="H639" s="58" t="s">
        <v>400</v>
      </c>
      <c r="I639" s="58" t="s">
        <v>181</v>
      </c>
      <c r="J639" s="67">
        <v>842.7</v>
      </c>
      <c r="K639" s="67">
        <f>S639*6</f>
        <v>45455.238000000012</v>
      </c>
      <c r="L639" s="111">
        <f>S639*3</f>
        <v>22727.619000000006</v>
      </c>
      <c r="M639" s="11" t="s">
        <v>10</v>
      </c>
      <c r="N639" s="292">
        <v>0</v>
      </c>
      <c r="O639" s="292">
        <v>0</v>
      </c>
      <c r="P639" s="58" t="s">
        <v>451</v>
      </c>
      <c r="Q639" s="135"/>
      <c r="R639" s="319"/>
      <c r="S639" s="257">
        <f>14.5*J639*1*(1+1.2+0.9)*0.2</f>
        <v>7575.8730000000014</v>
      </c>
      <c r="T639" s="268"/>
    </row>
    <row r="640" spans="1:20" s="269" customFormat="1" ht="20.399999999999999" x14ac:dyDescent="0.2">
      <c r="A640" s="92"/>
      <c r="B640" s="293"/>
      <c r="C640" s="293"/>
      <c r="D640" s="293"/>
      <c r="E640" s="71"/>
      <c r="F640" s="92"/>
      <c r="G640" s="92"/>
      <c r="H640" s="293"/>
      <c r="I640" s="293"/>
      <c r="J640" s="293"/>
      <c r="K640" s="283"/>
      <c r="L640" s="175"/>
      <c r="M640" s="49" t="s">
        <v>11</v>
      </c>
      <c r="N640" s="24">
        <v>0</v>
      </c>
      <c r="O640" s="24">
        <v>0</v>
      </c>
      <c r="P640" s="92"/>
      <c r="Q640" s="293"/>
      <c r="R640" s="319"/>
      <c r="S640" s="257"/>
      <c r="T640" s="268"/>
    </row>
    <row r="641" spans="1:20" s="269" customFormat="1" ht="10.199999999999999" x14ac:dyDescent="0.2">
      <c r="A641" s="92"/>
      <c r="B641" s="293"/>
      <c r="C641" s="293"/>
      <c r="D641" s="293"/>
      <c r="E641" s="293"/>
      <c r="F641" s="92"/>
      <c r="G641" s="92"/>
      <c r="H641" s="293"/>
      <c r="I641" s="293"/>
      <c r="J641" s="293"/>
      <c r="K641" s="283"/>
      <c r="L641" s="175"/>
      <c r="M641" s="49" t="s">
        <v>12</v>
      </c>
      <c r="N641" s="24">
        <v>0</v>
      </c>
      <c r="O641" s="24">
        <v>0</v>
      </c>
      <c r="P641" s="92"/>
      <c r="Q641" s="293"/>
      <c r="R641" s="319"/>
      <c r="S641" s="257"/>
      <c r="T641" s="268"/>
    </row>
    <row r="642" spans="1:20" s="269" customFormat="1" ht="10.199999999999999" x14ac:dyDescent="0.2">
      <c r="A642" s="92"/>
      <c r="B642" s="293"/>
      <c r="C642" s="293"/>
      <c r="D642" s="293"/>
      <c r="E642" s="293"/>
      <c r="F642" s="92"/>
      <c r="G642" s="92"/>
      <c r="H642" s="293"/>
      <c r="I642" s="293"/>
      <c r="J642" s="293"/>
      <c r="K642" s="283"/>
      <c r="L642" s="175"/>
      <c r="M642" s="49" t="s">
        <v>13</v>
      </c>
      <c r="N642" s="24">
        <v>0</v>
      </c>
      <c r="O642" s="24">
        <v>0</v>
      </c>
      <c r="P642" s="92"/>
      <c r="Q642" s="293"/>
      <c r="R642" s="319"/>
      <c r="S642" s="257"/>
      <c r="T642" s="268"/>
    </row>
    <row r="643" spans="1:20" s="269" customFormat="1" ht="10.199999999999999" x14ac:dyDescent="0.2">
      <c r="A643" s="92"/>
      <c r="B643" s="293"/>
      <c r="C643" s="293"/>
      <c r="D643" s="293"/>
      <c r="E643" s="293"/>
      <c r="F643" s="92"/>
      <c r="G643" s="92"/>
      <c r="H643" s="293"/>
      <c r="I643" s="293"/>
      <c r="J643" s="293"/>
      <c r="K643" s="283"/>
      <c r="L643" s="175"/>
      <c r="M643" s="49" t="s">
        <v>14</v>
      </c>
      <c r="N643" s="24">
        <v>0</v>
      </c>
      <c r="O643" s="24">
        <v>0</v>
      </c>
      <c r="P643" s="92"/>
      <c r="Q643" s="293"/>
      <c r="R643" s="319"/>
      <c r="S643" s="257"/>
      <c r="T643" s="268"/>
    </row>
    <row r="644" spans="1:20" s="269" customFormat="1" x14ac:dyDescent="0.2">
      <c r="A644" s="78"/>
      <c r="B644" s="289"/>
      <c r="C644" s="289"/>
      <c r="D644" s="289"/>
      <c r="E644" s="289"/>
      <c r="F644" s="78"/>
      <c r="G644" s="78"/>
      <c r="H644" s="289"/>
      <c r="I644" s="289"/>
      <c r="J644" s="289"/>
      <c r="K644" s="284"/>
      <c r="L644" s="175"/>
      <c r="M644" s="336" t="s">
        <v>533</v>
      </c>
      <c r="N644" s="217" t="s">
        <v>485</v>
      </c>
      <c r="O644" s="218"/>
      <c r="P644" s="78"/>
      <c r="Q644" s="289"/>
      <c r="R644" s="319"/>
      <c r="S644" s="257"/>
      <c r="T644" s="268"/>
    </row>
    <row r="645" spans="1:20" s="269" customFormat="1" ht="10.199999999999999" x14ac:dyDescent="0.2">
      <c r="A645" s="58">
        <f>A639+1</f>
        <v>101</v>
      </c>
      <c r="B645" s="70">
        <v>44314</v>
      </c>
      <c r="C645" s="70">
        <v>46113</v>
      </c>
      <c r="D645" s="110" t="s">
        <v>182</v>
      </c>
      <c r="E645" s="58" t="s">
        <v>444</v>
      </c>
      <c r="F645" s="58" t="s">
        <v>299</v>
      </c>
      <c r="G645" s="110" t="s">
        <v>240</v>
      </c>
      <c r="H645" s="110" t="s">
        <v>531</v>
      </c>
      <c r="I645" s="110" t="s">
        <v>183</v>
      </c>
      <c r="J645" s="117">
        <v>712.6</v>
      </c>
      <c r="K645" s="67">
        <f>S645*6</f>
        <v>38437.644000000008</v>
      </c>
      <c r="L645" s="111">
        <f>S645*3</f>
        <v>19218.822000000004</v>
      </c>
      <c r="M645" s="49" t="s">
        <v>10</v>
      </c>
      <c r="N645" s="79" t="s">
        <v>457</v>
      </c>
      <c r="O645" s="60"/>
      <c r="P645" s="110" t="s">
        <v>240</v>
      </c>
      <c r="Q645" s="135"/>
      <c r="R645" s="319"/>
      <c r="S645" s="257">
        <f>14.5*J645*1*(1+1.2+0.9)*0.2</f>
        <v>6406.2740000000013</v>
      </c>
      <c r="T645" s="268"/>
    </row>
    <row r="646" spans="1:20" s="269" customFormat="1" ht="20.399999999999999" x14ac:dyDescent="0.2">
      <c r="A646" s="92"/>
      <c r="B646" s="293"/>
      <c r="C646" s="293"/>
      <c r="D646" s="293"/>
      <c r="E646" s="71"/>
      <c r="F646" s="92"/>
      <c r="G646" s="293"/>
      <c r="H646" s="293"/>
      <c r="I646" s="293"/>
      <c r="J646" s="293"/>
      <c r="K646" s="283"/>
      <c r="L646" s="175"/>
      <c r="M646" s="49" t="s">
        <v>11</v>
      </c>
      <c r="N646" s="61"/>
      <c r="O646" s="62"/>
      <c r="P646" s="293"/>
      <c r="Q646" s="293"/>
      <c r="R646" s="319"/>
      <c r="S646" s="257"/>
      <c r="T646" s="268"/>
    </row>
    <row r="647" spans="1:20" s="269" customFormat="1" ht="10.199999999999999" x14ac:dyDescent="0.2">
      <c r="A647" s="92"/>
      <c r="B647" s="293"/>
      <c r="C647" s="293"/>
      <c r="D647" s="293"/>
      <c r="E647" s="293"/>
      <c r="F647" s="92"/>
      <c r="G647" s="293"/>
      <c r="H647" s="293"/>
      <c r="I647" s="293"/>
      <c r="J647" s="293"/>
      <c r="K647" s="283"/>
      <c r="L647" s="175"/>
      <c r="M647" s="49" t="s">
        <v>12</v>
      </c>
      <c r="N647" s="61"/>
      <c r="O647" s="62"/>
      <c r="P647" s="293"/>
      <c r="Q647" s="293"/>
      <c r="R647" s="319"/>
      <c r="S647" s="257"/>
      <c r="T647" s="268"/>
    </row>
    <row r="648" spans="1:20" s="269" customFormat="1" ht="10.199999999999999" x14ac:dyDescent="0.2">
      <c r="A648" s="92"/>
      <c r="B648" s="293"/>
      <c r="C648" s="293"/>
      <c r="D648" s="293"/>
      <c r="E648" s="293"/>
      <c r="F648" s="92"/>
      <c r="G648" s="293"/>
      <c r="H648" s="293"/>
      <c r="I648" s="293"/>
      <c r="J648" s="293"/>
      <c r="K648" s="283"/>
      <c r="L648" s="175"/>
      <c r="M648" s="49" t="s">
        <v>13</v>
      </c>
      <c r="N648" s="61"/>
      <c r="O648" s="62"/>
      <c r="P648" s="293"/>
      <c r="Q648" s="293"/>
      <c r="R648" s="319"/>
      <c r="S648" s="257"/>
      <c r="T648" s="268"/>
    </row>
    <row r="649" spans="1:20" s="269" customFormat="1" ht="10.199999999999999" x14ac:dyDescent="0.2">
      <c r="A649" s="92"/>
      <c r="B649" s="293"/>
      <c r="C649" s="293"/>
      <c r="D649" s="293"/>
      <c r="E649" s="293"/>
      <c r="F649" s="92"/>
      <c r="G649" s="293"/>
      <c r="H649" s="293"/>
      <c r="I649" s="293"/>
      <c r="J649" s="293"/>
      <c r="K649" s="283"/>
      <c r="L649" s="175"/>
      <c r="M649" s="49" t="s">
        <v>14</v>
      </c>
      <c r="N649" s="61"/>
      <c r="O649" s="62"/>
      <c r="P649" s="293"/>
      <c r="Q649" s="293"/>
      <c r="R649" s="319"/>
      <c r="S649" s="257"/>
      <c r="T649" s="268"/>
    </row>
    <row r="650" spans="1:20" s="269" customFormat="1" x14ac:dyDescent="0.2">
      <c r="A650" s="78"/>
      <c r="B650" s="289"/>
      <c r="C650" s="289"/>
      <c r="D650" s="289"/>
      <c r="E650" s="289"/>
      <c r="F650" s="78"/>
      <c r="G650" s="289"/>
      <c r="H650" s="289"/>
      <c r="I650" s="289"/>
      <c r="J650" s="289"/>
      <c r="K650" s="284"/>
      <c r="L650" s="175"/>
      <c r="M650" s="295" t="s">
        <v>533</v>
      </c>
      <c r="N650" s="217" t="s">
        <v>485</v>
      </c>
      <c r="O650" s="218"/>
      <c r="P650" s="289"/>
      <c r="Q650" s="289"/>
      <c r="R650" s="319"/>
      <c r="S650" s="257"/>
      <c r="T650" s="268"/>
    </row>
    <row r="651" spans="1:20" s="269" customFormat="1" ht="10.199999999999999" x14ac:dyDescent="0.2">
      <c r="A651" s="58">
        <f>A645+1</f>
        <v>102</v>
      </c>
      <c r="B651" s="70">
        <v>44497</v>
      </c>
      <c r="C651" s="70">
        <v>45592</v>
      </c>
      <c r="D651" s="58" t="s">
        <v>184</v>
      </c>
      <c r="E651" s="58" t="s">
        <v>444</v>
      </c>
      <c r="F651" s="58" t="s">
        <v>299</v>
      </c>
      <c r="G651" s="110" t="s">
        <v>455</v>
      </c>
      <c r="H651" s="133" t="s">
        <v>401</v>
      </c>
      <c r="I651" s="58" t="s">
        <v>185</v>
      </c>
      <c r="J651" s="67">
        <v>12.4</v>
      </c>
      <c r="K651" s="67">
        <f>S651*6</f>
        <v>2407.8816000000006</v>
      </c>
      <c r="L651" s="111">
        <f>S651*3</f>
        <v>1203.9408000000003</v>
      </c>
      <c r="M651" s="49" t="s">
        <v>10</v>
      </c>
      <c r="N651" s="24">
        <v>1</v>
      </c>
      <c r="O651" s="24">
        <v>1</v>
      </c>
      <c r="P651" s="110" t="s">
        <v>455</v>
      </c>
      <c r="Q651" s="135"/>
      <c r="R651" s="319"/>
      <c r="S651" s="257">
        <f>14.5*J651*1.2*(1+1.2+0.9)*0.6</f>
        <v>401.31360000000006</v>
      </c>
      <c r="T651" s="268"/>
    </row>
    <row r="652" spans="1:20" s="269" customFormat="1" ht="20.399999999999999" x14ac:dyDescent="0.2">
      <c r="A652" s="92"/>
      <c r="B652" s="293"/>
      <c r="C652" s="293"/>
      <c r="D652" s="293"/>
      <c r="E652" s="71"/>
      <c r="F652" s="92"/>
      <c r="G652" s="293"/>
      <c r="H652" s="293"/>
      <c r="I652" s="293"/>
      <c r="J652" s="293"/>
      <c r="K652" s="283"/>
      <c r="L652" s="175"/>
      <c r="M652" s="49" t="s">
        <v>11</v>
      </c>
      <c r="N652" s="24">
        <v>0.2</v>
      </c>
      <c r="O652" s="24">
        <v>0.2</v>
      </c>
      <c r="P652" s="293"/>
      <c r="Q652" s="293"/>
      <c r="R652" s="319"/>
      <c r="S652" s="257"/>
      <c r="T652" s="268"/>
    </row>
    <row r="653" spans="1:20" s="269" customFormat="1" ht="10.199999999999999" x14ac:dyDescent="0.2">
      <c r="A653" s="92"/>
      <c r="B653" s="293"/>
      <c r="C653" s="293"/>
      <c r="D653" s="293"/>
      <c r="E653" s="293"/>
      <c r="F653" s="92"/>
      <c r="G653" s="293"/>
      <c r="H653" s="293"/>
      <c r="I653" s="293"/>
      <c r="J653" s="293"/>
      <c r="K653" s="283"/>
      <c r="L653" s="175"/>
      <c r="M653" s="49" t="s">
        <v>12</v>
      </c>
      <c r="N653" s="24">
        <v>0</v>
      </c>
      <c r="O653" s="24">
        <v>0</v>
      </c>
      <c r="P653" s="293"/>
      <c r="Q653" s="293"/>
      <c r="R653" s="319"/>
      <c r="S653" s="257"/>
      <c r="T653" s="268"/>
    </row>
    <row r="654" spans="1:20" s="269" customFormat="1" ht="10.199999999999999" x14ac:dyDescent="0.2">
      <c r="A654" s="92"/>
      <c r="B654" s="293"/>
      <c r="C654" s="293"/>
      <c r="D654" s="293"/>
      <c r="E654" s="293"/>
      <c r="F654" s="92"/>
      <c r="G654" s="293"/>
      <c r="H654" s="293"/>
      <c r="I654" s="293"/>
      <c r="J654" s="293"/>
      <c r="K654" s="283"/>
      <c r="L654" s="175"/>
      <c r="M654" s="49" t="s">
        <v>13</v>
      </c>
      <c r="N654" s="24">
        <v>0</v>
      </c>
      <c r="O654" s="24">
        <v>0</v>
      </c>
      <c r="P654" s="293"/>
      <c r="Q654" s="293"/>
      <c r="R654" s="319"/>
      <c r="S654" s="257"/>
      <c r="T654" s="268"/>
    </row>
    <row r="655" spans="1:20" s="269" customFormat="1" ht="10.199999999999999" x14ac:dyDescent="0.2">
      <c r="A655" s="92"/>
      <c r="B655" s="293"/>
      <c r="C655" s="293"/>
      <c r="D655" s="293"/>
      <c r="E655" s="293"/>
      <c r="F655" s="92"/>
      <c r="G655" s="293"/>
      <c r="H655" s="293"/>
      <c r="I655" s="293"/>
      <c r="J655" s="293"/>
      <c r="K655" s="283"/>
      <c r="L655" s="175"/>
      <c r="M655" s="49" t="s">
        <v>14</v>
      </c>
      <c r="N655" s="24">
        <v>0</v>
      </c>
      <c r="O655" s="24">
        <v>0</v>
      </c>
      <c r="P655" s="293"/>
      <c r="Q655" s="293"/>
      <c r="R655" s="319"/>
      <c r="S655" s="257"/>
      <c r="T655" s="268"/>
    </row>
    <row r="656" spans="1:20" s="269" customFormat="1" x14ac:dyDescent="0.2">
      <c r="A656" s="78"/>
      <c r="B656" s="289"/>
      <c r="C656" s="289"/>
      <c r="D656" s="289"/>
      <c r="E656" s="289"/>
      <c r="F656" s="78"/>
      <c r="G656" s="289"/>
      <c r="H656" s="289"/>
      <c r="I656" s="289"/>
      <c r="J656" s="289"/>
      <c r="K656" s="284"/>
      <c r="L656" s="175"/>
      <c r="M656" s="336" t="s">
        <v>533</v>
      </c>
      <c r="N656" s="217" t="s">
        <v>485</v>
      </c>
      <c r="O656" s="218"/>
      <c r="P656" s="289"/>
      <c r="Q656" s="289"/>
      <c r="R656" s="319"/>
      <c r="S656" s="257"/>
      <c r="T656" s="268"/>
    </row>
    <row r="657" spans="1:20" s="269" customFormat="1" ht="10.199999999999999" x14ac:dyDescent="0.2">
      <c r="A657" s="58">
        <f>A651+1</f>
        <v>103</v>
      </c>
      <c r="B657" s="70">
        <v>44054</v>
      </c>
      <c r="C657" s="70">
        <v>45148</v>
      </c>
      <c r="D657" s="58" t="s">
        <v>189</v>
      </c>
      <c r="E657" s="58" t="s">
        <v>444</v>
      </c>
      <c r="F657" s="58" t="s">
        <v>299</v>
      </c>
      <c r="G657" s="110" t="s">
        <v>190</v>
      </c>
      <c r="H657" s="126" t="s">
        <v>191</v>
      </c>
      <c r="I657" s="110" t="s">
        <v>192</v>
      </c>
      <c r="J657" s="117">
        <v>4956.8999999999996</v>
      </c>
      <c r="K657" s="67">
        <f>S657*6</f>
        <v>1737938.7089999998</v>
      </c>
      <c r="L657" s="111">
        <f>S657*3</f>
        <v>868969.3544999999</v>
      </c>
      <c r="M657" s="49" t="s">
        <v>10</v>
      </c>
      <c r="N657" s="24">
        <v>0</v>
      </c>
      <c r="O657" s="24">
        <v>0</v>
      </c>
      <c r="P657" s="110" t="s">
        <v>603</v>
      </c>
      <c r="Q657" s="58" t="s">
        <v>498</v>
      </c>
      <c r="R657" s="319"/>
      <c r="S657" s="257">
        <f>14.5*J657*1*(1+1.2+0.9)*1.3</f>
        <v>289656.45149999997</v>
      </c>
      <c r="T657" s="268"/>
    </row>
    <row r="658" spans="1:20" s="269" customFormat="1" ht="20.399999999999999" x14ac:dyDescent="0.2">
      <c r="A658" s="92"/>
      <c r="B658" s="293"/>
      <c r="C658" s="293"/>
      <c r="D658" s="293"/>
      <c r="E658" s="71"/>
      <c r="F658" s="92"/>
      <c r="G658" s="293"/>
      <c r="H658" s="366"/>
      <c r="I658" s="293"/>
      <c r="J658" s="293"/>
      <c r="K658" s="283"/>
      <c r="L658" s="175"/>
      <c r="M658" s="49" t="s">
        <v>11</v>
      </c>
      <c r="N658" s="24">
        <v>0</v>
      </c>
      <c r="O658" s="24">
        <v>0</v>
      </c>
      <c r="P658" s="293"/>
      <c r="Q658" s="92"/>
      <c r="R658" s="319"/>
      <c r="S658" s="257"/>
      <c r="T658" s="268"/>
    </row>
    <row r="659" spans="1:20" s="269" customFormat="1" ht="10.199999999999999" x14ac:dyDescent="0.2">
      <c r="A659" s="92"/>
      <c r="B659" s="293"/>
      <c r="C659" s="293"/>
      <c r="D659" s="293"/>
      <c r="E659" s="293"/>
      <c r="F659" s="92"/>
      <c r="G659" s="293"/>
      <c r="H659" s="366"/>
      <c r="I659" s="293"/>
      <c r="J659" s="293"/>
      <c r="K659" s="283"/>
      <c r="L659" s="175"/>
      <c r="M659" s="49" t="s">
        <v>12</v>
      </c>
      <c r="N659" s="24">
        <v>0</v>
      </c>
      <c r="O659" s="24">
        <v>0</v>
      </c>
      <c r="P659" s="293"/>
      <c r="Q659" s="92"/>
      <c r="R659" s="319"/>
      <c r="S659" s="257"/>
      <c r="T659" s="268"/>
    </row>
    <row r="660" spans="1:20" s="269" customFormat="1" ht="10.199999999999999" x14ac:dyDescent="0.2">
      <c r="A660" s="92"/>
      <c r="B660" s="293"/>
      <c r="C660" s="293"/>
      <c r="D660" s="293"/>
      <c r="E660" s="293"/>
      <c r="F660" s="92"/>
      <c r="G660" s="293"/>
      <c r="H660" s="366"/>
      <c r="I660" s="293"/>
      <c r="J660" s="293"/>
      <c r="K660" s="283"/>
      <c r="L660" s="175"/>
      <c r="M660" s="49" t="s">
        <v>13</v>
      </c>
      <c r="N660" s="24">
        <v>133905.70000000001</v>
      </c>
      <c r="O660" s="24">
        <v>0</v>
      </c>
      <c r="P660" s="293"/>
      <c r="Q660" s="92"/>
      <c r="R660" s="319"/>
      <c r="S660" s="257"/>
      <c r="T660" s="268"/>
    </row>
    <row r="661" spans="1:20" s="269" customFormat="1" ht="10.199999999999999" x14ac:dyDescent="0.2">
      <c r="A661" s="92"/>
      <c r="B661" s="293"/>
      <c r="C661" s="293"/>
      <c r="D661" s="293"/>
      <c r="E661" s="293"/>
      <c r="F661" s="92"/>
      <c r="G661" s="293"/>
      <c r="H661" s="366"/>
      <c r="I661" s="293"/>
      <c r="J661" s="293"/>
      <c r="K661" s="283"/>
      <c r="L661" s="175"/>
      <c r="M661" s="49" t="s">
        <v>14</v>
      </c>
      <c r="N661" s="24">
        <v>0</v>
      </c>
      <c r="O661" s="24">
        <v>0</v>
      </c>
      <c r="P661" s="293"/>
      <c r="Q661" s="92"/>
      <c r="R661" s="319"/>
      <c r="S661" s="257"/>
      <c r="T661" s="268"/>
    </row>
    <row r="662" spans="1:20" s="269" customFormat="1" x14ac:dyDescent="0.2">
      <c r="A662" s="78"/>
      <c r="B662" s="289"/>
      <c r="C662" s="289"/>
      <c r="D662" s="289"/>
      <c r="E662" s="289"/>
      <c r="F662" s="78"/>
      <c r="G662" s="289"/>
      <c r="H662" s="367"/>
      <c r="I662" s="289"/>
      <c r="J662" s="289"/>
      <c r="K662" s="284"/>
      <c r="L662" s="175"/>
      <c r="M662" s="336" t="s">
        <v>533</v>
      </c>
      <c r="N662" s="217" t="s">
        <v>485</v>
      </c>
      <c r="O662" s="218"/>
      <c r="P662" s="289"/>
      <c r="Q662" s="78"/>
      <c r="R662" s="319"/>
      <c r="S662" s="257"/>
      <c r="T662" s="268"/>
    </row>
    <row r="663" spans="1:20" s="269" customFormat="1" ht="10.199999999999999" x14ac:dyDescent="0.2">
      <c r="A663" s="58">
        <f>A657+1</f>
        <v>104</v>
      </c>
      <c r="B663" s="95">
        <v>44915</v>
      </c>
      <c r="C663" s="95">
        <v>45077</v>
      </c>
      <c r="D663" s="58" t="s">
        <v>602</v>
      </c>
      <c r="E663" s="58" t="s">
        <v>444</v>
      </c>
      <c r="F663" s="58" t="s">
        <v>299</v>
      </c>
      <c r="G663" s="58" t="s">
        <v>65</v>
      </c>
      <c r="H663" s="58" t="s">
        <v>227</v>
      </c>
      <c r="I663" s="58" t="s">
        <v>228</v>
      </c>
      <c r="J663" s="67">
        <v>3592.7</v>
      </c>
      <c r="K663" s="67">
        <f>S663*5</f>
        <v>415194.85049014655</v>
      </c>
      <c r="L663" s="111">
        <f>S663*2</f>
        <v>166077.94019605863</v>
      </c>
      <c r="M663" s="49" t="s">
        <v>10</v>
      </c>
      <c r="N663" s="24">
        <v>364.52</v>
      </c>
      <c r="O663" s="24">
        <v>364.52</v>
      </c>
      <c r="P663" s="110" t="s">
        <v>240</v>
      </c>
      <c r="Q663" s="58" t="s">
        <v>620</v>
      </c>
      <c r="R663" s="319"/>
      <c r="S663" s="257">
        <f>14.5*J663*1*(1+1.2+0.9)*0.2*12/1979*424</f>
        <v>83038.970098029313</v>
      </c>
      <c r="T663" s="268"/>
    </row>
    <row r="664" spans="1:20" s="269" customFormat="1" ht="20.399999999999999" x14ac:dyDescent="0.2">
      <c r="A664" s="92"/>
      <c r="B664" s="293"/>
      <c r="C664" s="293"/>
      <c r="D664" s="293"/>
      <c r="E664" s="71"/>
      <c r="F664" s="92"/>
      <c r="G664" s="293"/>
      <c r="H664" s="92"/>
      <c r="I664" s="293"/>
      <c r="J664" s="293"/>
      <c r="K664" s="283"/>
      <c r="L664" s="175"/>
      <c r="M664" s="49" t="s">
        <v>11</v>
      </c>
      <c r="N664" s="24">
        <v>777.96</v>
      </c>
      <c r="O664" s="24">
        <v>777.96</v>
      </c>
      <c r="P664" s="293"/>
      <c r="Q664" s="92"/>
      <c r="R664" s="412"/>
      <c r="S664" s="257"/>
      <c r="T664" s="268"/>
    </row>
    <row r="665" spans="1:20" s="269" customFormat="1" ht="10.199999999999999" x14ac:dyDescent="0.2">
      <c r="A665" s="92"/>
      <c r="B665" s="293"/>
      <c r="C665" s="293"/>
      <c r="D665" s="293"/>
      <c r="E665" s="293"/>
      <c r="F665" s="92"/>
      <c r="G665" s="293"/>
      <c r="H665" s="92"/>
      <c r="I665" s="293"/>
      <c r="J665" s="293"/>
      <c r="K665" s="283"/>
      <c r="L665" s="175"/>
      <c r="M665" s="49" t="s">
        <v>12</v>
      </c>
      <c r="N665" s="24">
        <v>0</v>
      </c>
      <c r="O665" s="24">
        <v>0</v>
      </c>
      <c r="P665" s="293"/>
      <c r="Q665" s="92"/>
      <c r="R665" s="319"/>
      <c r="S665" s="257"/>
      <c r="T665" s="268"/>
    </row>
    <row r="666" spans="1:20" s="269" customFormat="1" ht="10.199999999999999" x14ac:dyDescent="0.2">
      <c r="A666" s="92"/>
      <c r="B666" s="293"/>
      <c r="C666" s="293"/>
      <c r="D666" s="293"/>
      <c r="E666" s="293"/>
      <c r="F666" s="92"/>
      <c r="G666" s="293"/>
      <c r="H666" s="92"/>
      <c r="I666" s="293"/>
      <c r="J666" s="293"/>
      <c r="K666" s="283"/>
      <c r="L666" s="175"/>
      <c r="M666" s="49" t="s">
        <v>13</v>
      </c>
      <c r="N666" s="24">
        <v>1775.96</v>
      </c>
      <c r="O666" s="24">
        <v>1775.96</v>
      </c>
      <c r="P666" s="293"/>
      <c r="Q666" s="92"/>
      <c r="R666" s="319"/>
      <c r="S666" s="257"/>
      <c r="T666" s="268"/>
    </row>
    <row r="667" spans="1:20" s="269" customFormat="1" ht="10.199999999999999" x14ac:dyDescent="0.2">
      <c r="A667" s="92"/>
      <c r="B667" s="293"/>
      <c r="C667" s="293"/>
      <c r="D667" s="293"/>
      <c r="E667" s="293"/>
      <c r="F667" s="92"/>
      <c r="G667" s="293"/>
      <c r="H667" s="92"/>
      <c r="I667" s="293"/>
      <c r="J667" s="293"/>
      <c r="K667" s="283"/>
      <c r="L667" s="175"/>
      <c r="M667" s="49" t="s">
        <v>14</v>
      </c>
      <c r="N667" s="24">
        <v>0</v>
      </c>
      <c r="O667" s="24">
        <v>0</v>
      </c>
      <c r="P667" s="293"/>
      <c r="Q667" s="92"/>
      <c r="R667" s="319"/>
      <c r="S667" s="257"/>
      <c r="T667" s="268"/>
    </row>
    <row r="668" spans="1:20" s="269" customFormat="1" ht="39.6" customHeight="1" x14ac:dyDescent="0.2">
      <c r="A668" s="78"/>
      <c r="B668" s="289"/>
      <c r="C668" s="289"/>
      <c r="D668" s="289"/>
      <c r="E668" s="289"/>
      <c r="F668" s="78"/>
      <c r="G668" s="289"/>
      <c r="H668" s="78"/>
      <c r="I668" s="289"/>
      <c r="J668" s="289"/>
      <c r="K668" s="284"/>
      <c r="L668" s="175"/>
      <c r="M668" s="336" t="s">
        <v>533</v>
      </c>
      <c r="N668" s="217" t="s">
        <v>485</v>
      </c>
      <c r="O668" s="218"/>
      <c r="P668" s="289"/>
      <c r="Q668" s="78"/>
      <c r="R668" s="319"/>
      <c r="S668" s="257"/>
      <c r="T668" s="268"/>
    </row>
    <row r="669" spans="1:20" s="269" customFormat="1" ht="10.199999999999999" x14ac:dyDescent="0.2">
      <c r="A669" s="58">
        <f>A663+1</f>
        <v>105</v>
      </c>
      <c r="B669" s="70">
        <v>44440</v>
      </c>
      <c r="C669" s="70">
        <v>45535</v>
      </c>
      <c r="D669" s="58" t="s">
        <v>229</v>
      </c>
      <c r="E669" s="58" t="s">
        <v>445</v>
      </c>
      <c r="F669" s="58" t="s">
        <v>299</v>
      </c>
      <c r="G669" s="110" t="s">
        <v>230</v>
      </c>
      <c r="H669" s="110" t="s">
        <v>402</v>
      </c>
      <c r="I669" s="110" t="s">
        <v>231</v>
      </c>
      <c r="J669" s="123">
        <v>31.4</v>
      </c>
      <c r="K669" s="111">
        <f>S669*2</f>
        <v>4403.6615999999995</v>
      </c>
      <c r="L669" s="111">
        <f>S669*3</f>
        <v>6605.4923999999992</v>
      </c>
      <c r="M669" s="49" t="s">
        <v>10</v>
      </c>
      <c r="N669" s="24">
        <v>0</v>
      </c>
      <c r="O669" s="24">
        <v>0</v>
      </c>
      <c r="P669" s="110" t="s">
        <v>230</v>
      </c>
      <c r="Q669" s="135"/>
      <c r="R669" s="319"/>
      <c r="S669" s="257">
        <f>14.5*J669*1.2*(1+1.2+0.9)*1.3</f>
        <v>2201.8307999999997</v>
      </c>
      <c r="T669" s="268"/>
    </row>
    <row r="670" spans="1:20" s="269" customFormat="1" ht="20.399999999999999" x14ac:dyDescent="0.2">
      <c r="A670" s="92"/>
      <c r="B670" s="293"/>
      <c r="C670" s="293"/>
      <c r="D670" s="293"/>
      <c r="E670" s="71"/>
      <c r="F670" s="92"/>
      <c r="G670" s="293"/>
      <c r="H670" s="293"/>
      <c r="I670" s="293"/>
      <c r="J670" s="293"/>
      <c r="K670" s="175"/>
      <c r="L670" s="175"/>
      <c r="M670" s="49" t="s">
        <v>11</v>
      </c>
      <c r="N670" s="24">
        <v>0</v>
      </c>
      <c r="O670" s="24">
        <v>0</v>
      </c>
      <c r="P670" s="293"/>
      <c r="Q670" s="293"/>
      <c r="R670" s="319"/>
      <c r="S670" s="257"/>
      <c r="T670" s="268"/>
    </row>
    <row r="671" spans="1:20" s="269" customFormat="1" ht="10.199999999999999" x14ac:dyDescent="0.2">
      <c r="A671" s="92"/>
      <c r="B671" s="293"/>
      <c r="C671" s="293"/>
      <c r="D671" s="293"/>
      <c r="E671" s="293"/>
      <c r="F671" s="92"/>
      <c r="G671" s="293"/>
      <c r="H671" s="293"/>
      <c r="I671" s="293"/>
      <c r="J671" s="293"/>
      <c r="K671" s="175"/>
      <c r="L671" s="175"/>
      <c r="M671" s="49" t="s">
        <v>12</v>
      </c>
      <c r="N671" s="24">
        <v>0</v>
      </c>
      <c r="O671" s="24">
        <v>0</v>
      </c>
      <c r="P671" s="293"/>
      <c r="Q671" s="293"/>
      <c r="R671" s="319"/>
      <c r="S671" s="257"/>
      <c r="T671" s="268"/>
    </row>
    <row r="672" spans="1:20" s="269" customFormat="1" ht="10.199999999999999" x14ac:dyDescent="0.2">
      <c r="A672" s="92"/>
      <c r="B672" s="293"/>
      <c r="C672" s="293"/>
      <c r="D672" s="293"/>
      <c r="E672" s="293"/>
      <c r="F672" s="92"/>
      <c r="G672" s="293"/>
      <c r="H672" s="293"/>
      <c r="I672" s="293"/>
      <c r="J672" s="293"/>
      <c r="K672" s="175"/>
      <c r="L672" s="175"/>
      <c r="M672" s="49" t="s">
        <v>13</v>
      </c>
      <c r="N672" s="24">
        <v>0</v>
      </c>
      <c r="O672" s="24">
        <v>0</v>
      </c>
      <c r="P672" s="293"/>
      <c r="Q672" s="293"/>
      <c r="R672" s="319"/>
      <c r="S672" s="257"/>
      <c r="T672" s="268"/>
    </row>
    <row r="673" spans="1:20" s="269" customFormat="1" ht="10.199999999999999" x14ac:dyDescent="0.2">
      <c r="A673" s="92"/>
      <c r="B673" s="293"/>
      <c r="C673" s="293"/>
      <c r="D673" s="293"/>
      <c r="E673" s="293"/>
      <c r="F673" s="92"/>
      <c r="G673" s="293"/>
      <c r="H673" s="293"/>
      <c r="I673" s="293"/>
      <c r="J673" s="293"/>
      <c r="K673" s="175"/>
      <c r="L673" s="175"/>
      <c r="M673" s="49" t="s">
        <v>14</v>
      </c>
      <c r="N673" s="24">
        <v>0</v>
      </c>
      <c r="O673" s="24">
        <v>0</v>
      </c>
      <c r="P673" s="293"/>
      <c r="Q673" s="293"/>
      <c r="R673" s="319"/>
      <c r="S673" s="257"/>
      <c r="T673" s="268"/>
    </row>
    <row r="674" spans="1:20" s="269" customFormat="1" x14ac:dyDescent="0.3">
      <c r="A674" s="78"/>
      <c r="B674" s="289"/>
      <c r="C674" s="289"/>
      <c r="D674" s="289"/>
      <c r="E674" s="289"/>
      <c r="F674" s="78"/>
      <c r="G674" s="289"/>
      <c r="H674" s="289"/>
      <c r="I674" s="289"/>
      <c r="J674" s="289"/>
      <c r="K674" s="175"/>
      <c r="L674" s="175"/>
      <c r="M674" s="336" t="s">
        <v>533</v>
      </c>
      <c r="N674" s="217" t="s">
        <v>485</v>
      </c>
      <c r="O674" s="218"/>
      <c r="P674" s="368"/>
      <c r="Q674" s="289"/>
      <c r="R674" s="319"/>
      <c r="S674" s="257"/>
      <c r="T674" s="268"/>
    </row>
    <row r="675" spans="1:20" s="269" customFormat="1" ht="10.199999999999999" x14ac:dyDescent="0.2">
      <c r="A675" s="58">
        <f>A669+1</f>
        <v>106</v>
      </c>
      <c r="B675" s="95">
        <v>44271</v>
      </c>
      <c r="C675" s="95">
        <v>45275</v>
      </c>
      <c r="D675" s="58" t="s">
        <v>250</v>
      </c>
      <c r="E675" s="58" t="s">
        <v>446</v>
      </c>
      <c r="F675" s="58" t="s">
        <v>299</v>
      </c>
      <c r="G675" s="58" t="s">
        <v>454</v>
      </c>
      <c r="H675" s="58" t="s">
        <v>404</v>
      </c>
      <c r="I675" s="58" t="s">
        <v>251</v>
      </c>
      <c r="J675" s="58">
        <v>68.400000000000006</v>
      </c>
      <c r="K675" s="111">
        <f>S675*6</f>
        <v>16567.027200000004</v>
      </c>
      <c r="L675" s="111">
        <f>S675*3</f>
        <v>8283.513600000002</v>
      </c>
      <c r="M675" s="49" t="s">
        <v>10</v>
      </c>
      <c r="N675" s="24">
        <v>31.63</v>
      </c>
      <c r="O675" s="24">
        <v>31.63</v>
      </c>
      <c r="P675" s="58" t="s">
        <v>454</v>
      </c>
      <c r="Q675" s="135"/>
      <c r="R675" s="319"/>
      <c r="S675" s="257">
        <f>14.5*J675*1.2*(1+1.2+0.7)*0.8</f>
        <v>2761.1712000000007</v>
      </c>
      <c r="T675" s="268"/>
    </row>
    <row r="676" spans="1:20" s="269" customFormat="1" ht="20.399999999999999" x14ac:dyDescent="0.2">
      <c r="A676" s="71"/>
      <c r="B676" s="293"/>
      <c r="C676" s="92"/>
      <c r="D676" s="92"/>
      <c r="E676" s="71"/>
      <c r="F676" s="92"/>
      <c r="G676" s="92"/>
      <c r="H676" s="293"/>
      <c r="I676" s="293"/>
      <c r="J676" s="293"/>
      <c r="K676" s="175"/>
      <c r="L676" s="175"/>
      <c r="M676" s="49" t="s">
        <v>11</v>
      </c>
      <c r="N676" s="24">
        <v>18.18</v>
      </c>
      <c r="O676" s="24">
        <v>18.18</v>
      </c>
      <c r="P676" s="92"/>
      <c r="Q676" s="293"/>
      <c r="R676" s="319"/>
      <c r="S676" s="257"/>
      <c r="T676" s="268"/>
    </row>
    <row r="677" spans="1:20" s="269" customFormat="1" ht="10.199999999999999" x14ac:dyDescent="0.2">
      <c r="A677" s="71"/>
      <c r="B677" s="293"/>
      <c r="C677" s="92"/>
      <c r="D677" s="92"/>
      <c r="E677" s="293"/>
      <c r="F677" s="92"/>
      <c r="G677" s="92"/>
      <c r="H677" s="293"/>
      <c r="I677" s="293"/>
      <c r="J677" s="293"/>
      <c r="K677" s="175"/>
      <c r="L677" s="175"/>
      <c r="M677" s="49" t="s">
        <v>12</v>
      </c>
      <c r="N677" s="24">
        <v>0</v>
      </c>
      <c r="O677" s="24">
        <v>0</v>
      </c>
      <c r="P677" s="92"/>
      <c r="Q677" s="293"/>
      <c r="R677" s="319"/>
      <c r="S677" s="257"/>
      <c r="T677" s="268"/>
    </row>
    <row r="678" spans="1:20" s="269" customFormat="1" ht="10.199999999999999" x14ac:dyDescent="0.2">
      <c r="A678" s="71"/>
      <c r="B678" s="293"/>
      <c r="C678" s="92"/>
      <c r="D678" s="92"/>
      <c r="E678" s="293"/>
      <c r="F678" s="92"/>
      <c r="G678" s="92"/>
      <c r="H678" s="293"/>
      <c r="I678" s="293"/>
      <c r="J678" s="293"/>
      <c r="K678" s="175"/>
      <c r="L678" s="175"/>
      <c r="M678" s="49" t="s">
        <v>13</v>
      </c>
      <c r="N678" s="24">
        <v>0</v>
      </c>
      <c r="O678" s="24">
        <v>0</v>
      </c>
      <c r="P678" s="92"/>
      <c r="Q678" s="293"/>
      <c r="R678" s="319"/>
      <c r="S678" s="257"/>
      <c r="T678" s="268"/>
    </row>
    <row r="679" spans="1:20" s="269" customFormat="1" ht="10.199999999999999" x14ac:dyDescent="0.2">
      <c r="A679" s="71"/>
      <c r="B679" s="293"/>
      <c r="C679" s="92"/>
      <c r="D679" s="92"/>
      <c r="E679" s="293"/>
      <c r="F679" s="92"/>
      <c r="G679" s="92"/>
      <c r="H679" s="293"/>
      <c r="I679" s="293"/>
      <c r="J679" s="293"/>
      <c r="K679" s="175"/>
      <c r="L679" s="175"/>
      <c r="M679" s="51" t="s">
        <v>14</v>
      </c>
      <c r="N679" s="253">
        <v>0</v>
      </c>
      <c r="O679" s="253">
        <v>0</v>
      </c>
      <c r="P679" s="92"/>
      <c r="Q679" s="293"/>
      <c r="R679" s="319"/>
      <c r="S679" s="257"/>
      <c r="T679" s="268"/>
    </row>
    <row r="680" spans="1:20" s="269" customFormat="1" x14ac:dyDescent="0.2">
      <c r="A680" s="87"/>
      <c r="B680" s="289"/>
      <c r="C680" s="78"/>
      <c r="D680" s="78"/>
      <c r="E680" s="289"/>
      <c r="F680" s="78"/>
      <c r="G680" s="78"/>
      <c r="H680" s="289"/>
      <c r="I680" s="289"/>
      <c r="J680" s="289"/>
      <c r="K680" s="175"/>
      <c r="L680" s="175"/>
      <c r="M680" s="336" t="s">
        <v>533</v>
      </c>
      <c r="N680" s="217" t="s">
        <v>485</v>
      </c>
      <c r="O680" s="218"/>
      <c r="P680" s="78"/>
      <c r="Q680" s="289"/>
      <c r="R680" s="319"/>
      <c r="S680" s="257"/>
      <c r="T680" s="268"/>
    </row>
    <row r="681" spans="1:20" s="269" customFormat="1" ht="10.199999999999999" x14ac:dyDescent="0.2">
      <c r="A681" s="89">
        <f>A675+1</f>
        <v>107</v>
      </c>
      <c r="B681" s="88">
        <v>44763</v>
      </c>
      <c r="C681" s="88">
        <v>46588</v>
      </c>
      <c r="D681" s="90" t="s">
        <v>496</v>
      </c>
      <c r="E681" s="89" t="s">
        <v>447</v>
      </c>
      <c r="F681" s="89" t="s">
        <v>299</v>
      </c>
      <c r="G681" s="90" t="s">
        <v>230</v>
      </c>
      <c r="H681" s="90" t="s">
        <v>405</v>
      </c>
      <c r="I681" s="90" t="s">
        <v>31</v>
      </c>
      <c r="J681" s="91">
        <v>243.3</v>
      </c>
      <c r="K681" s="111">
        <f>S681*6</f>
        <v>94489.934399999998</v>
      </c>
      <c r="L681" s="111">
        <f>S681*3</f>
        <v>47244.967199999999</v>
      </c>
      <c r="M681" s="49" t="s">
        <v>10</v>
      </c>
      <c r="N681" s="79" t="s">
        <v>457</v>
      </c>
      <c r="O681" s="60"/>
      <c r="P681" s="90" t="s">
        <v>230</v>
      </c>
      <c r="Q681" s="193"/>
      <c r="R681" s="319"/>
      <c r="S681" s="257">
        <f>14.5*J681*1.2*(1+1.2+0.9)*1.2</f>
        <v>15748.322400000001</v>
      </c>
      <c r="T681" s="268"/>
    </row>
    <row r="682" spans="1:20" s="269" customFormat="1" ht="20.399999999999999" x14ac:dyDescent="0.2">
      <c r="A682" s="89"/>
      <c r="B682" s="176"/>
      <c r="C682" s="176"/>
      <c r="D682" s="176"/>
      <c r="E682" s="176"/>
      <c r="F682" s="100"/>
      <c r="G682" s="100"/>
      <c r="H682" s="176"/>
      <c r="I682" s="176"/>
      <c r="J682" s="176"/>
      <c r="K682" s="175"/>
      <c r="L682" s="175"/>
      <c r="M682" s="49" t="s">
        <v>11</v>
      </c>
      <c r="N682" s="61"/>
      <c r="O682" s="62"/>
      <c r="P682" s="100"/>
      <c r="Q682" s="176"/>
      <c r="R682" s="319"/>
      <c r="S682" s="257"/>
      <c r="T682" s="268"/>
    </row>
    <row r="683" spans="1:20" s="269" customFormat="1" ht="10.199999999999999" x14ac:dyDescent="0.2">
      <c r="A683" s="89"/>
      <c r="B683" s="176"/>
      <c r="C683" s="176"/>
      <c r="D683" s="176"/>
      <c r="E683" s="176"/>
      <c r="F683" s="100"/>
      <c r="G683" s="100"/>
      <c r="H683" s="176"/>
      <c r="I683" s="176"/>
      <c r="J683" s="176"/>
      <c r="K683" s="175"/>
      <c r="L683" s="175"/>
      <c r="M683" s="49" t="s">
        <v>12</v>
      </c>
      <c r="N683" s="61"/>
      <c r="O683" s="62"/>
      <c r="P683" s="100"/>
      <c r="Q683" s="176"/>
      <c r="R683" s="319"/>
      <c r="S683" s="257"/>
      <c r="T683" s="268"/>
    </row>
    <row r="684" spans="1:20" s="269" customFormat="1" ht="10.199999999999999" x14ac:dyDescent="0.2">
      <c r="A684" s="89"/>
      <c r="B684" s="176"/>
      <c r="C684" s="176"/>
      <c r="D684" s="176"/>
      <c r="E684" s="176"/>
      <c r="F684" s="100"/>
      <c r="G684" s="100"/>
      <c r="H684" s="176"/>
      <c r="I684" s="176"/>
      <c r="J684" s="176"/>
      <c r="K684" s="175"/>
      <c r="L684" s="175"/>
      <c r="M684" s="49" t="s">
        <v>13</v>
      </c>
      <c r="N684" s="61"/>
      <c r="O684" s="62"/>
      <c r="P684" s="100"/>
      <c r="Q684" s="176"/>
      <c r="R684" s="319"/>
      <c r="S684" s="257"/>
      <c r="T684" s="268"/>
    </row>
    <row r="685" spans="1:20" s="269" customFormat="1" ht="10.199999999999999" x14ac:dyDescent="0.2">
      <c r="A685" s="89"/>
      <c r="B685" s="176"/>
      <c r="C685" s="176"/>
      <c r="D685" s="176"/>
      <c r="E685" s="176"/>
      <c r="F685" s="100"/>
      <c r="G685" s="100"/>
      <c r="H685" s="176"/>
      <c r="I685" s="176"/>
      <c r="J685" s="176"/>
      <c r="K685" s="175"/>
      <c r="L685" s="175"/>
      <c r="M685" s="49" t="s">
        <v>14</v>
      </c>
      <c r="N685" s="80"/>
      <c r="O685" s="81"/>
      <c r="P685" s="100"/>
      <c r="Q685" s="176"/>
      <c r="R685" s="319"/>
      <c r="S685" s="257"/>
      <c r="T685" s="268"/>
    </row>
    <row r="686" spans="1:20" s="269" customFormat="1" x14ac:dyDescent="0.2">
      <c r="A686" s="89"/>
      <c r="B686" s="176"/>
      <c r="C686" s="176"/>
      <c r="D686" s="176"/>
      <c r="E686" s="176"/>
      <c r="F686" s="100"/>
      <c r="G686" s="100"/>
      <c r="H686" s="176"/>
      <c r="I686" s="176"/>
      <c r="J686" s="176"/>
      <c r="K686" s="175"/>
      <c r="L686" s="175"/>
      <c r="M686" s="336" t="s">
        <v>533</v>
      </c>
      <c r="N686" s="217" t="s">
        <v>485</v>
      </c>
      <c r="O686" s="218"/>
      <c r="P686" s="100"/>
      <c r="Q686" s="176"/>
      <c r="R686" s="319"/>
      <c r="S686" s="257"/>
      <c r="T686" s="268"/>
    </row>
    <row r="687" spans="1:20" s="269" customFormat="1" ht="10.199999999999999" x14ac:dyDescent="0.2">
      <c r="A687" s="58">
        <f>A681+1</f>
        <v>108</v>
      </c>
      <c r="B687" s="70">
        <v>44374</v>
      </c>
      <c r="C687" s="70">
        <v>45449</v>
      </c>
      <c r="D687" s="110" t="s">
        <v>270</v>
      </c>
      <c r="E687" s="58" t="s">
        <v>448</v>
      </c>
      <c r="F687" s="58" t="s">
        <v>299</v>
      </c>
      <c r="G687" s="110" t="s">
        <v>230</v>
      </c>
      <c r="H687" s="110" t="s">
        <v>406</v>
      </c>
      <c r="I687" s="110" t="s">
        <v>271</v>
      </c>
      <c r="J687" s="123">
        <v>35.700000000000003</v>
      </c>
      <c r="K687" s="111">
        <f>S687*6</f>
        <v>15020.132400000002</v>
      </c>
      <c r="L687" s="111">
        <f>S687*3</f>
        <v>7510.0662000000011</v>
      </c>
      <c r="M687" s="11" t="s">
        <v>10</v>
      </c>
      <c r="N687" s="292">
        <v>24.23</v>
      </c>
      <c r="O687" s="292">
        <v>24.23</v>
      </c>
      <c r="P687" s="110" t="s">
        <v>230</v>
      </c>
      <c r="Q687" s="135"/>
      <c r="R687" s="319"/>
      <c r="S687" s="257">
        <f>14.5*J687*1.2*(1+1.2+0.9)*1.3</f>
        <v>2503.3554000000004</v>
      </c>
      <c r="T687" s="268"/>
    </row>
    <row r="688" spans="1:20" s="269" customFormat="1" ht="20.399999999999999" x14ac:dyDescent="0.2">
      <c r="A688" s="71"/>
      <c r="B688" s="293"/>
      <c r="C688" s="293"/>
      <c r="D688" s="293"/>
      <c r="E688" s="293"/>
      <c r="F688" s="92"/>
      <c r="G688" s="92"/>
      <c r="H688" s="293"/>
      <c r="I688" s="293"/>
      <c r="J688" s="293"/>
      <c r="K688" s="175"/>
      <c r="L688" s="175"/>
      <c r="M688" s="49" t="s">
        <v>11</v>
      </c>
      <c r="N688" s="24">
        <v>6.68</v>
      </c>
      <c r="O688" s="24">
        <v>6.68</v>
      </c>
      <c r="P688" s="92"/>
      <c r="Q688" s="293"/>
      <c r="R688" s="319"/>
      <c r="S688" s="257"/>
      <c r="T688" s="268"/>
    </row>
    <row r="689" spans="1:20" s="269" customFormat="1" ht="10.199999999999999" x14ac:dyDescent="0.2">
      <c r="A689" s="71"/>
      <c r="B689" s="293"/>
      <c r="C689" s="293"/>
      <c r="D689" s="293"/>
      <c r="E689" s="293"/>
      <c r="F689" s="92"/>
      <c r="G689" s="92"/>
      <c r="H689" s="293"/>
      <c r="I689" s="293"/>
      <c r="J689" s="293"/>
      <c r="K689" s="175"/>
      <c r="L689" s="175"/>
      <c r="M689" s="49" t="s">
        <v>12</v>
      </c>
      <c r="N689" s="24">
        <v>0</v>
      </c>
      <c r="O689" s="24">
        <v>0</v>
      </c>
      <c r="P689" s="92"/>
      <c r="Q689" s="293"/>
      <c r="R689" s="319"/>
      <c r="S689" s="257"/>
      <c r="T689" s="268"/>
    </row>
    <row r="690" spans="1:20" s="269" customFormat="1" ht="10.199999999999999" x14ac:dyDescent="0.2">
      <c r="A690" s="71"/>
      <c r="B690" s="293"/>
      <c r="C690" s="293"/>
      <c r="D690" s="293"/>
      <c r="E690" s="293"/>
      <c r="F690" s="92"/>
      <c r="G690" s="92"/>
      <c r="H690" s="293"/>
      <c r="I690" s="293"/>
      <c r="J690" s="293"/>
      <c r="K690" s="175"/>
      <c r="L690" s="175"/>
      <c r="M690" s="49" t="s">
        <v>13</v>
      </c>
      <c r="N690" s="24">
        <v>0</v>
      </c>
      <c r="O690" s="24">
        <v>0</v>
      </c>
      <c r="P690" s="92"/>
      <c r="Q690" s="293"/>
      <c r="R690" s="319"/>
      <c r="S690" s="257"/>
      <c r="T690" s="268"/>
    </row>
    <row r="691" spans="1:20" s="269" customFormat="1" ht="10.199999999999999" x14ac:dyDescent="0.2">
      <c r="A691" s="71"/>
      <c r="B691" s="293"/>
      <c r="C691" s="293"/>
      <c r="D691" s="293"/>
      <c r="E691" s="293"/>
      <c r="F691" s="92"/>
      <c r="G691" s="92"/>
      <c r="H691" s="293"/>
      <c r="I691" s="293"/>
      <c r="J691" s="293"/>
      <c r="K691" s="175"/>
      <c r="L691" s="175"/>
      <c r="M691" s="49" t="s">
        <v>14</v>
      </c>
      <c r="N691" s="24">
        <v>15.29</v>
      </c>
      <c r="O691" s="24">
        <v>15.29</v>
      </c>
      <c r="P691" s="92"/>
      <c r="Q691" s="293"/>
      <c r="R691" s="319"/>
      <c r="S691" s="257"/>
      <c r="T691" s="268"/>
    </row>
    <row r="692" spans="1:20" s="269" customFormat="1" x14ac:dyDescent="0.2">
      <c r="A692" s="87"/>
      <c r="B692" s="289"/>
      <c r="C692" s="289"/>
      <c r="D692" s="289"/>
      <c r="E692" s="289"/>
      <c r="F692" s="78"/>
      <c r="G692" s="78"/>
      <c r="H692" s="289"/>
      <c r="I692" s="289"/>
      <c r="J692" s="289"/>
      <c r="K692" s="175"/>
      <c r="L692" s="175"/>
      <c r="M692" s="295" t="s">
        <v>533</v>
      </c>
      <c r="N692" s="217" t="s">
        <v>485</v>
      </c>
      <c r="O692" s="218"/>
      <c r="P692" s="41"/>
      <c r="Q692" s="289"/>
      <c r="R692" s="319"/>
      <c r="S692" s="257"/>
      <c r="T692" s="268"/>
    </row>
    <row r="693" spans="1:20" s="269" customFormat="1" ht="10.199999999999999" x14ac:dyDescent="0.2">
      <c r="A693" s="58">
        <f>A687+1</f>
        <v>109</v>
      </c>
      <c r="B693" s="70">
        <v>44927</v>
      </c>
      <c r="C693" s="70">
        <v>46752</v>
      </c>
      <c r="D693" s="58" t="s">
        <v>567</v>
      </c>
      <c r="E693" s="58" t="s">
        <v>448</v>
      </c>
      <c r="F693" s="58" t="s">
        <v>299</v>
      </c>
      <c r="G693" s="110" t="s">
        <v>566</v>
      </c>
      <c r="H693" s="110" t="s">
        <v>438</v>
      </c>
      <c r="I693" s="110" t="s">
        <v>284</v>
      </c>
      <c r="J693" s="123">
        <v>185.3</v>
      </c>
      <c r="K693" s="111">
        <f>S693*6</f>
        <v>71964.590400000001</v>
      </c>
      <c r="L693" s="111">
        <f>S693*3</f>
        <v>35982.2952</v>
      </c>
      <c r="M693" s="49" t="s">
        <v>10</v>
      </c>
      <c r="N693" s="292">
        <v>129.03</v>
      </c>
      <c r="O693" s="292">
        <v>129.03</v>
      </c>
      <c r="P693" s="110" t="s">
        <v>437</v>
      </c>
      <c r="Q693" s="135"/>
      <c r="R693" s="319"/>
      <c r="S693" s="257">
        <f>14.5*J693*1.2*(1+1.2+0.9)*1.2</f>
        <v>11994.098400000001</v>
      </c>
      <c r="T693" s="268"/>
    </row>
    <row r="694" spans="1:20" s="269" customFormat="1" ht="20.399999999999999" x14ac:dyDescent="0.2">
      <c r="A694" s="71"/>
      <c r="B694" s="293"/>
      <c r="C694" s="293"/>
      <c r="D694" s="293"/>
      <c r="E694" s="293"/>
      <c r="F694" s="92"/>
      <c r="G694" s="293"/>
      <c r="H694" s="293"/>
      <c r="I694" s="293"/>
      <c r="J694" s="293"/>
      <c r="K694" s="175"/>
      <c r="L694" s="175"/>
      <c r="M694" s="49" t="s">
        <v>11</v>
      </c>
      <c r="N694" s="24">
        <v>40.229999999999997</v>
      </c>
      <c r="O694" s="24">
        <v>40.229999999999997</v>
      </c>
      <c r="P694" s="293"/>
      <c r="Q694" s="293"/>
      <c r="R694" s="319"/>
      <c r="S694" s="257"/>
      <c r="T694" s="268"/>
    </row>
    <row r="695" spans="1:20" s="269" customFormat="1" ht="10.199999999999999" x14ac:dyDescent="0.2">
      <c r="A695" s="71"/>
      <c r="B695" s="293"/>
      <c r="C695" s="293"/>
      <c r="D695" s="293"/>
      <c r="E695" s="293"/>
      <c r="F695" s="92"/>
      <c r="G695" s="293"/>
      <c r="H695" s="293"/>
      <c r="I695" s="293"/>
      <c r="J695" s="293"/>
      <c r="K695" s="175"/>
      <c r="L695" s="175"/>
      <c r="M695" s="49" t="s">
        <v>12</v>
      </c>
      <c r="N695" s="24">
        <v>0</v>
      </c>
      <c r="O695" s="24">
        <v>0</v>
      </c>
      <c r="P695" s="293"/>
      <c r="Q695" s="293"/>
      <c r="R695" s="319"/>
      <c r="S695" s="257"/>
      <c r="T695" s="268"/>
    </row>
    <row r="696" spans="1:20" s="269" customFormat="1" ht="10.199999999999999" x14ac:dyDescent="0.2">
      <c r="A696" s="71"/>
      <c r="B696" s="293"/>
      <c r="C696" s="293"/>
      <c r="D696" s="293"/>
      <c r="E696" s="293"/>
      <c r="F696" s="92"/>
      <c r="G696" s="293"/>
      <c r="H696" s="293"/>
      <c r="I696" s="293"/>
      <c r="J696" s="293"/>
      <c r="K696" s="175"/>
      <c r="L696" s="175"/>
      <c r="M696" s="49" t="s">
        <v>13</v>
      </c>
      <c r="N696" s="24">
        <v>0</v>
      </c>
      <c r="O696" s="24">
        <v>0</v>
      </c>
      <c r="P696" s="293"/>
      <c r="Q696" s="293"/>
      <c r="R696" s="319"/>
      <c r="S696" s="257"/>
      <c r="T696" s="268"/>
    </row>
    <row r="697" spans="1:20" s="269" customFormat="1" ht="10.199999999999999" x14ac:dyDescent="0.2">
      <c r="A697" s="71"/>
      <c r="B697" s="293"/>
      <c r="C697" s="293"/>
      <c r="D697" s="293"/>
      <c r="E697" s="293"/>
      <c r="F697" s="92"/>
      <c r="G697" s="293"/>
      <c r="H697" s="293"/>
      <c r="I697" s="293"/>
      <c r="J697" s="293"/>
      <c r="K697" s="175"/>
      <c r="L697" s="175"/>
      <c r="M697" s="49" t="s">
        <v>14</v>
      </c>
      <c r="N697" s="24">
        <v>18.16</v>
      </c>
      <c r="O697" s="24">
        <v>18.16</v>
      </c>
      <c r="P697" s="293"/>
      <c r="Q697" s="293"/>
      <c r="R697" s="319"/>
      <c r="S697" s="257"/>
      <c r="T697" s="268"/>
    </row>
    <row r="698" spans="1:20" s="244" customFormat="1" x14ac:dyDescent="0.3">
      <c r="A698" s="87"/>
      <c r="B698" s="289"/>
      <c r="C698" s="289"/>
      <c r="D698" s="289"/>
      <c r="E698" s="289"/>
      <c r="F698" s="78"/>
      <c r="G698" s="289"/>
      <c r="H698" s="289"/>
      <c r="I698" s="289"/>
      <c r="J698" s="289"/>
      <c r="K698" s="175"/>
      <c r="L698" s="175"/>
      <c r="M698" s="49" t="s">
        <v>533</v>
      </c>
      <c r="N698" s="217" t="s">
        <v>485</v>
      </c>
      <c r="O698" s="218"/>
      <c r="P698" s="368"/>
      <c r="Q698" s="289"/>
      <c r="R698" s="242"/>
      <c r="S698" s="257"/>
      <c r="T698" s="243"/>
    </row>
    <row r="699" spans="1:20" s="269" customFormat="1" ht="10.199999999999999" x14ac:dyDescent="0.2">
      <c r="A699" s="58">
        <f>A693+1</f>
        <v>110</v>
      </c>
      <c r="B699" s="70" t="s">
        <v>293</v>
      </c>
      <c r="C699" s="70">
        <v>46189</v>
      </c>
      <c r="D699" s="110" t="s">
        <v>294</v>
      </c>
      <c r="E699" s="58" t="s">
        <v>448</v>
      </c>
      <c r="F699" s="58" t="s">
        <v>299</v>
      </c>
      <c r="G699" s="110" t="s">
        <v>295</v>
      </c>
      <c r="H699" s="110" t="s">
        <v>550</v>
      </c>
      <c r="I699" s="110" t="s">
        <v>260</v>
      </c>
      <c r="J699" s="123">
        <v>313.8</v>
      </c>
      <c r="K699" s="111">
        <f>S699*6</f>
        <v>121869.87839999999</v>
      </c>
      <c r="L699" s="67">
        <f>S699*3</f>
        <v>60934.939199999993</v>
      </c>
      <c r="M699" s="49" t="s">
        <v>10</v>
      </c>
      <c r="N699" s="24">
        <v>93669.48</v>
      </c>
      <c r="O699" s="24">
        <v>643.89</v>
      </c>
      <c r="P699" s="110" t="s">
        <v>295</v>
      </c>
      <c r="Q699" s="135"/>
      <c r="R699" s="319"/>
      <c r="S699" s="257">
        <f>14.5*J699*1.2*(1+1.2+0.9)*1.2</f>
        <v>20311.646399999998</v>
      </c>
      <c r="T699" s="268"/>
    </row>
    <row r="700" spans="1:20" s="269" customFormat="1" ht="20.399999999999999" x14ac:dyDescent="0.2">
      <c r="A700" s="71"/>
      <c r="B700" s="127"/>
      <c r="C700" s="127"/>
      <c r="D700" s="129"/>
      <c r="E700" s="293"/>
      <c r="F700" s="71"/>
      <c r="G700" s="129"/>
      <c r="H700" s="129"/>
      <c r="I700" s="129"/>
      <c r="J700" s="131"/>
      <c r="K700" s="175"/>
      <c r="L700" s="283"/>
      <c r="M700" s="49" t="s">
        <v>11</v>
      </c>
      <c r="N700" s="24">
        <v>11344</v>
      </c>
      <c r="O700" s="24">
        <v>100.5</v>
      </c>
      <c r="P700" s="129"/>
      <c r="Q700" s="293"/>
      <c r="R700" s="319"/>
      <c r="S700" s="257"/>
      <c r="T700" s="268"/>
    </row>
    <row r="701" spans="1:20" s="269" customFormat="1" ht="10.199999999999999" x14ac:dyDescent="0.2">
      <c r="A701" s="71"/>
      <c r="B701" s="127"/>
      <c r="C701" s="127"/>
      <c r="D701" s="129"/>
      <c r="E701" s="293"/>
      <c r="F701" s="71"/>
      <c r="G701" s="129"/>
      <c r="H701" s="129"/>
      <c r="I701" s="129"/>
      <c r="J701" s="131"/>
      <c r="K701" s="175"/>
      <c r="L701" s="283"/>
      <c r="M701" s="49" t="s">
        <v>12</v>
      </c>
      <c r="N701" s="24">
        <v>0</v>
      </c>
      <c r="O701" s="24">
        <v>0</v>
      </c>
      <c r="P701" s="129"/>
      <c r="Q701" s="293"/>
      <c r="R701" s="319"/>
      <c r="S701" s="257"/>
      <c r="T701" s="268"/>
    </row>
    <row r="702" spans="1:20" s="269" customFormat="1" ht="10.199999999999999" x14ac:dyDescent="0.2">
      <c r="A702" s="71"/>
      <c r="B702" s="127"/>
      <c r="C702" s="127"/>
      <c r="D702" s="129"/>
      <c r="E702" s="293"/>
      <c r="F702" s="71"/>
      <c r="G702" s="129"/>
      <c r="H702" s="129"/>
      <c r="I702" s="129"/>
      <c r="J702" s="131"/>
      <c r="K702" s="175"/>
      <c r="L702" s="283"/>
      <c r="M702" s="49" t="s">
        <v>13</v>
      </c>
      <c r="N702" s="24">
        <v>142176.01999999999</v>
      </c>
      <c r="O702" s="24">
        <v>0</v>
      </c>
      <c r="P702" s="129"/>
      <c r="Q702" s="293"/>
      <c r="R702" s="319"/>
      <c r="S702" s="257"/>
      <c r="T702" s="268"/>
    </row>
    <row r="703" spans="1:20" s="269" customFormat="1" ht="10.199999999999999" x14ac:dyDescent="0.2">
      <c r="A703" s="71"/>
      <c r="B703" s="127"/>
      <c r="C703" s="127"/>
      <c r="D703" s="129"/>
      <c r="E703" s="293"/>
      <c r="F703" s="71"/>
      <c r="G703" s="129"/>
      <c r="H703" s="129"/>
      <c r="I703" s="129"/>
      <c r="J703" s="131"/>
      <c r="K703" s="175"/>
      <c r="L703" s="283"/>
      <c r="M703" s="49" t="s">
        <v>14</v>
      </c>
      <c r="N703" s="24">
        <v>6633.74</v>
      </c>
      <c r="O703" s="24">
        <v>121.39</v>
      </c>
      <c r="P703" s="129"/>
      <c r="Q703" s="293"/>
      <c r="R703" s="319"/>
      <c r="S703" s="257"/>
      <c r="T703" s="268"/>
    </row>
    <row r="704" spans="1:20" s="269" customFormat="1" x14ac:dyDescent="0.2">
      <c r="A704" s="87"/>
      <c r="B704" s="128"/>
      <c r="C704" s="128"/>
      <c r="D704" s="130"/>
      <c r="E704" s="289"/>
      <c r="F704" s="87"/>
      <c r="G704" s="130"/>
      <c r="H704" s="130"/>
      <c r="I704" s="130"/>
      <c r="J704" s="132"/>
      <c r="K704" s="175"/>
      <c r="L704" s="284"/>
      <c r="M704" s="369" t="s">
        <v>533</v>
      </c>
      <c r="N704" s="217" t="s">
        <v>485</v>
      </c>
      <c r="O704" s="218"/>
      <c r="P704" s="130"/>
      <c r="Q704" s="289"/>
      <c r="R704" s="319"/>
      <c r="S704" s="257"/>
      <c r="T704" s="268"/>
    </row>
    <row r="705" spans="1:20" s="269" customFormat="1" ht="10.199999999999999" x14ac:dyDescent="0.2">
      <c r="A705" s="58">
        <f>A699+1</f>
        <v>111</v>
      </c>
      <c r="B705" s="88">
        <v>44784</v>
      </c>
      <c r="C705" s="88">
        <v>46609</v>
      </c>
      <c r="D705" s="90" t="s">
        <v>522</v>
      </c>
      <c r="E705" s="89" t="s">
        <v>300</v>
      </c>
      <c r="F705" s="89" t="s">
        <v>299</v>
      </c>
      <c r="G705" s="90" t="s">
        <v>452</v>
      </c>
      <c r="H705" s="90" t="s">
        <v>551</v>
      </c>
      <c r="I705" s="90" t="s">
        <v>119</v>
      </c>
      <c r="J705" s="91">
        <v>45.4</v>
      </c>
      <c r="K705" s="111">
        <f>S705*6</f>
        <v>6951.6479999999992</v>
      </c>
      <c r="L705" s="111">
        <f>S705*3</f>
        <v>3475.8239999999996</v>
      </c>
      <c r="M705" s="49" t="s">
        <v>10</v>
      </c>
      <c r="N705" s="24">
        <v>0</v>
      </c>
      <c r="O705" s="24">
        <v>0</v>
      </c>
      <c r="P705" s="90" t="s">
        <v>452</v>
      </c>
      <c r="Q705" s="193"/>
      <c r="R705" s="319"/>
      <c r="S705" s="257">
        <f>14.5*J705*1*(1+0.1+1.1)*0.8</f>
        <v>1158.6079999999999</v>
      </c>
      <c r="T705" s="268"/>
    </row>
    <row r="706" spans="1:20" s="269" customFormat="1" ht="20.399999999999999" x14ac:dyDescent="0.2">
      <c r="A706" s="71"/>
      <c r="B706" s="193"/>
      <c r="C706" s="193"/>
      <c r="D706" s="193"/>
      <c r="E706" s="89"/>
      <c r="F706" s="89"/>
      <c r="G706" s="89"/>
      <c r="H706" s="193"/>
      <c r="I706" s="193"/>
      <c r="J706" s="193"/>
      <c r="K706" s="111"/>
      <c r="L706" s="111"/>
      <c r="M706" s="49" t="s">
        <v>11</v>
      </c>
      <c r="N706" s="24">
        <v>0</v>
      </c>
      <c r="O706" s="24">
        <v>0</v>
      </c>
      <c r="P706" s="89"/>
      <c r="Q706" s="193"/>
      <c r="R706" s="319"/>
      <c r="S706" s="257"/>
      <c r="T706" s="268"/>
    </row>
    <row r="707" spans="1:20" s="269" customFormat="1" ht="10.199999999999999" x14ac:dyDescent="0.2">
      <c r="A707" s="71"/>
      <c r="B707" s="193"/>
      <c r="C707" s="193"/>
      <c r="D707" s="193"/>
      <c r="E707" s="193"/>
      <c r="F707" s="89"/>
      <c r="G707" s="89"/>
      <c r="H707" s="193"/>
      <c r="I707" s="193"/>
      <c r="J707" s="193"/>
      <c r="K707" s="111"/>
      <c r="L707" s="111"/>
      <c r="M707" s="49" t="s">
        <v>12</v>
      </c>
      <c r="N707" s="24">
        <v>0</v>
      </c>
      <c r="O707" s="24">
        <v>0</v>
      </c>
      <c r="P707" s="89"/>
      <c r="Q707" s="193"/>
      <c r="R707" s="319"/>
      <c r="S707" s="257"/>
      <c r="T707" s="268"/>
    </row>
    <row r="708" spans="1:20" s="269" customFormat="1" ht="10.199999999999999" x14ac:dyDescent="0.2">
      <c r="A708" s="71"/>
      <c r="B708" s="193"/>
      <c r="C708" s="193"/>
      <c r="D708" s="193"/>
      <c r="E708" s="193"/>
      <c r="F708" s="89"/>
      <c r="G708" s="89"/>
      <c r="H708" s="193"/>
      <c r="I708" s="193"/>
      <c r="J708" s="193"/>
      <c r="K708" s="111"/>
      <c r="L708" s="111"/>
      <c r="M708" s="49" t="s">
        <v>13</v>
      </c>
      <c r="N708" s="24">
        <v>0</v>
      </c>
      <c r="O708" s="24">
        <v>0</v>
      </c>
      <c r="P708" s="89"/>
      <c r="Q708" s="193"/>
      <c r="R708" s="319"/>
      <c r="S708" s="257"/>
      <c r="T708" s="268"/>
    </row>
    <row r="709" spans="1:20" s="269" customFormat="1" ht="10.199999999999999" x14ac:dyDescent="0.2">
      <c r="A709" s="71"/>
      <c r="B709" s="193"/>
      <c r="C709" s="193"/>
      <c r="D709" s="193"/>
      <c r="E709" s="193"/>
      <c r="F709" s="89"/>
      <c r="G709" s="89"/>
      <c r="H709" s="193"/>
      <c r="I709" s="193"/>
      <c r="J709" s="193"/>
      <c r="K709" s="111"/>
      <c r="L709" s="111"/>
      <c r="M709" s="49" t="s">
        <v>14</v>
      </c>
      <c r="N709" s="24">
        <v>0</v>
      </c>
      <c r="O709" s="24">
        <v>0</v>
      </c>
      <c r="P709" s="89"/>
      <c r="Q709" s="193"/>
      <c r="R709" s="319"/>
      <c r="S709" s="257"/>
      <c r="T709" s="268"/>
    </row>
    <row r="710" spans="1:20" s="269" customFormat="1" ht="10.199999999999999" x14ac:dyDescent="0.2">
      <c r="A710" s="87"/>
      <c r="B710" s="193"/>
      <c r="C710" s="193"/>
      <c r="D710" s="193"/>
      <c r="E710" s="193"/>
      <c r="F710" s="89"/>
      <c r="G710" s="89"/>
      <c r="H710" s="193"/>
      <c r="I710" s="193"/>
      <c r="J710" s="193"/>
      <c r="K710" s="111"/>
      <c r="L710" s="111"/>
      <c r="M710" s="336" t="s">
        <v>533</v>
      </c>
      <c r="N710" s="24">
        <v>87.17</v>
      </c>
      <c r="O710" s="24">
        <v>87.17</v>
      </c>
      <c r="P710" s="89"/>
      <c r="Q710" s="193"/>
      <c r="R710" s="319"/>
      <c r="S710" s="257"/>
      <c r="T710" s="268"/>
    </row>
    <row r="711" spans="1:20" s="269" customFormat="1" ht="10.199999999999999" x14ac:dyDescent="0.2">
      <c r="A711" s="58">
        <f>A705+1</f>
        <v>112</v>
      </c>
      <c r="B711" s="70">
        <v>44924</v>
      </c>
      <c r="C711" s="70">
        <v>45260</v>
      </c>
      <c r="D711" s="95">
        <v>45258</v>
      </c>
      <c r="E711" s="89" t="s">
        <v>604</v>
      </c>
      <c r="F711" s="58" t="s">
        <v>299</v>
      </c>
      <c r="G711" s="58" t="s">
        <v>65</v>
      </c>
      <c r="H711" s="58" t="s">
        <v>610</v>
      </c>
      <c r="I711" s="89" t="s">
        <v>607</v>
      </c>
      <c r="J711" s="58">
        <v>177.8</v>
      </c>
      <c r="K711" s="67">
        <f>S711*6</f>
        <v>11367.9072</v>
      </c>
      <c r="L711" s="67">
        <f>S711*3</f>
        <v>5683.9535999999998</v>
      </c>
      <c r="M711" s="11" t="s">
        <v>10</v>
      </c>
      <c r="N711" s="347">
        <v>0</v>
      </c>
      <c r="O711" s="347">
        <v>0</v>
      </c>
      <c r="P711" s="67" t="s">
        <v>65</v>
      </c>
      <c r="Q711" s="58" t="s">
        <v>618</v>
      </c>
      <c r="R711" s="319"/>
      <c r="S711" s="384">
        <f>(14.5*70.5*1.2*(1+1.2+0.5)*0.2)+(14.5*107.3*1.2*(1+1.2+1.1)*0.2)</f>
        <v>1894.6512</v>
      </c>
      <c r="T711" s="268"/>
    </row>
    <row r="712" spans="1:20" s="269" customFormat="1" ht="20.399999999999999" x14ac:dyDescent="0.3">
      <c r="A712" s="71"/>
      <c r="B712" s="293"/>
      <c r="C712" s="92"/>
      <c r="D712" s="293"/>
      <c r="E712" s="89"/>
      <c r="F712" s="293"/>
      <c r="G712" s="293"/>
      <c r="H712" s="370"/>
      <c r="I712" s="193"/>
      <c r="J712" s="293"/>
      <c r="K712" s="78"/>
      <c r="L712" s="78"/>
      <c r="M712" s="49" t="s">
        <v>11</v>
      </c>
      <c r="N712" s="34">
        <v>0</v>
      </c>
      <c r="O712" s="34">
        <v>0</v>
      </c>
      <c r="P712" s="98"/>
      <c r="Q712" s="71"/>
      <c r="R712" s="319"/>
      <c r="S712" s="243"/>
      <c r="T712" s="268"/>
    </row>
    <row r="713" spans="1:20" s="269" customFormat="1" x14ac:dyDescent="0.3">
      <c r="A713" s="71"/>
      <c r="B713" s="293"/>
      <c r="C713" s="92"/>
      <c r="D713" s="293"/>
      <c r="E713" s="89"/>
      <c r="F713" s="293"/>
      <c r="G713" s="293"/>
      <c r="H713" s="58" t="s">
        <v>605</v>
      </c>
      <c r="I713" s="193" t="s">
        <v>608</v>
      </c>
      <c r="J713" s="89">
        <v>1761.6</v>
      </c>
      <c r="K713" s="371"/>
      <c r="L713" s="371"/>
      <c r="M713" s="49" t="s">
        <v>12</v>
      </c>
      <c r="N713" s="34">
        <v>0</v>
      </c>
      <c r="O713" s="34">
        <v>0</v>
      </c>
      <c r="P713" s="98"/>
      <c r="Q713" s="71"/>
      <c r="R713" s="319"/>
      <c r="S713" s="243"/>
      <c r="T713" s="268"/>
    </row>
    <row r="714" spans="1:20" s="269" customFormat="1" x14ac:dyDescent="0.3">
      <c r="A714" s="71"/>
      <c r="B714" s="293"/>
      <c r="C714" s="92"/>
      <c r="D714" s="293"/>
      <c r="E714" s="89"/>
      <c r="F714" s="293"/>
      <c r="G714" s="293"/>
      <c r="H714" s="163"/>
      <c r="I714" s="193"/>
      <c r="J714" s="89"/>
      <c r="K714" s="78"/>
      <c r="L714" s="78"/>
      <c r="M714" s="49" t="s">
        <v>13</v>
      </c>
      <c r="N714" s="34">
        <v>0</v>
      </c>
      <c r="O714" s="34">
        <v>0</v>
      </c>
      <c r="P714" s="98"/>
      <c r="Q714" s="71"/>
      <c r="R714" s="319"/>
      <c r="S714" s="243"/>
      <c r="T714" s="268"/>
    </row>
    <row r="715" spans="1:20" s="269" customFormat="1" x14ac:dyDescent="0.3">
      <c r="A715" s="71"/>
      <c r="B715" s="293"/>
      <c r="C715" s="92"/>
      <c r="D715" s="293"/>
      <c r="E715" s="89"/>
      <c r="F715" s="293"/>
      <c r="G715" s="293"/>
      <c r="H715" s="58" t="s">
        <v>606</v>
      </c>
      <c r="I715" s="193" t="s">
        <v>609</v>
      </c>
      <c r="J715" s="89">
        <v>913</v>
      </c>
      <c r="K715" s="371"/>
      <c r="L715" s="371"/>
      <c r="M715" s="49" t="s">
        <v>14</v>
      </c>
      <c r="N715" s="34">
        <v>0</v>
      </c>
      <c r="O715" s="34">
        <v>0</v>
      </c>
      <c r="P715" s="98"/>
      <c r="Q715" s="71"/>
      <c r="R715" s="319"/>
      <c r="S715" s="243"/>
      <c r="T715" s="268"/>
    </row>
    <row r="716" spans="1:20" s="269" customFormat="1" x14ac:dyDescent="0.3">
      <c r="A716" s="87"/>
      <c r="B716" s="289"/>
      <c r="C716" s="78"/>
      <c r="D716" s="289"/>
      <c r="E716" s="89"/>
      <c r="F716" s="289"/>
      <c r="G716" s="289"/>
      <c r="H716" s="163"/>
      <c r="I716" s="193"/>
      <c r="J716" s="89"/>
      <c r="K716" s="78"/>
      <c r="L716" s="78"/>
      <c r="M716" s="49" t="s">
        <v>533</v>
      </c>
      <c r="N716" s="346" t="s">
        <v>485</v>
      </c>
      <c r="O716" s="218"/>
      <c r="P716" s="99"/>
      <c r="Q716" s="87"/>
      <c r="R716" s="319"/>
      <c r="S716" s="243"/>
      <c r="T716" s="268"/>
    </row>
    <row r="717" spans="1:20" s="269" customFormat="1" ht="10.199999999999999" x14ac:dyDescent="0.2">
      <c r="A717" s="297"/>
      <c r="B717" s="195" t="s">
        <v>460</v>
      </c>
      <c r="C717" s="196"/>
      <c r="D717" s="196"/>
      <c r="E717" s="196"/>
      <c r="F717" s="196"/>
      <c r="G717" s="196"/>
      <c r="H717" s="196"/>
      <c r="I717" s="197"/>
      <c r="J717" s="67">
        <f>SUM(J565:J712)</f>
        <v>13357.859999999995</v>
      </c>
      <c r="K717" s="67">
        <f>SUM(K565:K716)</f>
        <v>2948982.0674901465</v>
      </c>
      <c r="L717" s="67">
        <f>SUM(L565:L716)</f>
        <v>1437375.2102960586</v>
      </c>
      <c r="M717" s="12" t="s">
        <v>22</v>
      </c>
      <c r="N717" s="372">
        <f>N718+N719+N720+N721+N722+N723</f>
        <v>398279.42000000004</v>
      </c>
      <c r="O717" s="372">
        <f>O718+O719+O720+O721+O722+O723</f>
        <v>8863.2000000000007</v>
      </c>
      <c r="P717" s="373"/>
      <c r="Q717" s="373"/>
      <c r="R717" s="319"/>
      <c r="S717" s="268"/>
      <c r="T717" s="268"/>
    </row>
    <row r="718" spans="1:20" s="269" customFormat="1" ht="10.199999999999999" x14ac:dyDescent="0.2">
      <c r="A718" s="374"/>
      <c r="B718" s="198"/>
      <c r="C718" s="199"/>
      <c r="D718" s="199"/>
      <c r="E718" s="199"/>
      <c r="F718" s="199"/>
      <c r="G718" s="199"/>
      <c r="H718" s="199"/>
      <c r="I718" s="200"/>
      <c r="J718" s="98"/>
      <c r="K718" s="98"/>
      <c r="L718" s="98"/>
      <c r="M718" s="10" t="s">
        <v>10</v>
      </c>
      <c r="N718" s="24">
        <f>N567+N577+N585+N633+N639+N651+N657+N663+N669+N675+N687+N693+N699+N711+N705</f>
        <v>94219.89</v>
      </c>
      <c r="O718" s="24">
        <f>O567+O577+O585+O633+O639+O651+O657+O663+O669+O675+O687+O693+O699+O711+O705</f>
        <v>1194.3</v>
      </c>
      <c r="P718" s="307"/>
      <c r="Q718" s="307"/>
      <c r="R718" s="319"/>
      <c r="S718" s="268"/>
      <c r="T718" s="268"/>
    </row>
    <row r="719" spans="1:20" s="269" customFormat="1" ht="20.399999999999999" x14ac:dyDescent="0.2">
      <c r="A719" s="374"/>
      <c r="B719" s="198"/>
      <c r="C719" s="199"/>
      <c r="D719" s="199"/>
      <c r="E719" s="199"/>
      <c r="F719" s="199"/>
      <c r="G719" s="199"/>
      <c r="H719" s="199"/>
      <c r="I719" s="200"/>
      <c r="J719" s="98"/>
      <c r="K719" s="98"/>
      <c r="L719" s="98"/>
      <c r="M719" s="10" t="s">
        <v>11</v>
      </c>
      <c r="N719" s="24">
        <f>N568+N578+N634+N640+N652+N658+N664+N670+N676+N688+N694+N700+N712+N706</f>
        <v>12518.960000000001</v>
      </c>
      <c r="O719" s="24">
        <f>O568+O578+O634+O640+O652+O658+O664+O670+O676+O688+O694+O700+O712+O706</f>
        <v>1275.4600000000003</v>
      </c>
      <c r="P719" s="307"/>
      <c r="Q719" s="307"/>
      <c r="R719" s="319"/>
      <c r="S719" s="268"/>
      <c r="T719" s="268"/>
    </row>
    <row r="720" spans="1:20" s="269" customFormat="1" ht="10.199999999999999" x14ac:dyDescent="0.2">
      <c r="A720" s="374"/>
      <c r="B720" s="198"/>
      <c r="C720" s="199"/>
      <c r="D720" s="199"/>
      <c r="E720" s="199"/>
      <c r="F720" s="199"/>
      <c r="G720" s="199"/>
      <c r="H720" s="199"/>
      <c r="I720" s="200"/>
      <c r="J720" s="98"/>
      <c r="K720" s="98"/>
      <c r="L720" s="98"/>
      <c r="M720" s="10" t="s">
        <v>12</v>
      </c>
      <c r="N720" s="24">
        <f>N569+N579+N635+N641+N653+N659+N665+N671+N677+N689+N695+N701+N707+N713</f>
        <v>0</v>
      </c>
      <c r="O720" s="24">
        <f>O569+O579+O635+O641+O653+O659+O665+O671+O677+O689+O695+O701+O707+O713</f>
        <v>0</v>
      </c>
      <c r="P720" s="307"/>
      <c r="Q720" s="307"/>
      <c r="R720" s="319"/>
      <c r="S720" s="268"/>
      <c r="T720" s="268"/>
    </row>
    <row r="721" spans="1:20" s="269" customFormat="1" ht="10.199999999999999" x14ac:dyDescent="0.2">
      <c r="A721" s="374"/>
      <c r="B721" s="198"/>
      <c r="C721" s="199"/>
      <c r="D721" s="199"/>
      <c r="E721" s="199"/>
      <c r="F721" s="199"/>
      <c r="G721" s="199"/>
      <c r="H721" s="199"/>
      <c r="I721" s="200"/>
      <c r="J721" s="98"/>
      <c r="K721" s="98"/>
      <c r="L721" s="98"/>
      <c r="M721" s="10" t="s">
        <v>13</v>
      </c>
      <c r="N721" s="24">
        <f>N570+N580+N636+N642+N654+N660+N666+N672+N678+N690+N696+N702+N714+N708</f>
        <v>278994.93</v>
      </c>
      <c r="O721" s="24">
        <f>O570+O580+O636+O642+O654+O660+O666+O672+O678+O690+O696+O702+O714+O708</f>
        <v>2913.21</v>
      </c>
      <c r="P721" s="307"/>
      <c r="Q721" s="307"/>
      <c r="R721" s="319"/>
      <c r="S721" s="268"/>
      <c r="T721" s="268"/>
    </row>
    <row r="722" spans="1:20" s="269" customFormat="1" ht="10.199999999999999" x14ac:dyDescent="0.2">
      <c r="A722" s="374"/>
      <c r="B722" s="198"/>
      <c r="C722" s="199"/>
      <c r="D722" s="199"/>
      <c r="E722" s="199"/>
      <c r="F722" s="199"/>
      <c r="G722" s="199"/>
      <c r="H722" s="199"/>
      <c r="I722" s="200"/>
      <c r="J722" s="98"/>
      <c r="K722" s="98"/>
      <c r="L722" s="98"/>
      <c r="M722" s="10" t="s">
        <v>14</v>
      </c>
      <c r="N722" s="24">
        <f>N571+N581+N637+N643+N655+N661+N667+N673+N679+N691+N697+N703+N715+N709</f>
        <v>6667.19</v>
      </c>
      <c r="O722" s="24">
        <f>O571+O581+O637+O643+O655+O661+O667+O673+O679+O691+O697+O703+O715+O709</f>
        <v>154.84</v>
      </c>
      <c r="P722" s="307"/>
      <c r="Q722" s="307"/>
      <c r="R722" s="319"/>
      <c r="S722" s="268"/>
      <c r="T722" s="268"/>
    </row>
    <row r="723" spans="1:20" s="269" customFormat="1" ht="10.199999999999999" x14ac:dyDescent="0.2">
      <c r="A723" s="375"/>
      <c r="B723" s="201"/>
      <c r="C723" s="202"/>
      <c r="D723" s="202"/>
      <c r="E723" s="202"/>
      <c r="F723" s="202"/>
      <c r="G723" s="202"/>
      <c r="H723" s="202"/>
      <c r="I723" s="203"/>
      <c r="J723" s="99"/>
      <c r="K723" s="99"/>
      <c r="L723" s="99"/>
      <c r="M723" s="376" t="s">
        <v>533</v>
      </c>
      <c r="N723" s="24">
        <f>N572+N582+N590+N596+N608+N614+N620+N626+N632+N710</f>
        <v>5878.4500000000007</v>
      </c>
      <c r="O723" s="24">
        <f>O572+O582+O590+O596+O608+O614+O620+O626+O632+O710</f>
        <v>3325.39</v>
      </c>
      <c r="P723" s="312"/>
      <c r="Q723" s="312"/>
      <c r="R723" s="319"/>
      <c r="S723" s="268"/>
      <c r="T723" s="268"/>
    </row>
    <row r="724" spans="1:20" s="269" customFormat="1" ht="15.6" x14ac:dyDescent="0.3">
      <c r="A724" s="313" t="s">
        <v>407</v>
      </c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77"/>
      <c r="R724" s="319"/>
      <c r="S724" s="268"/>
      <c r="T724" s="268"/>
    </row>
    <row r="725" spans="1:20" s="269" customFormat="1" ht="10.199999999999999" x14ac:dyDescent="0.2">
      <c r="A725" s="101">
        <f>A711+1</f>
        <v>113</v>
      </c>
      <c r="B725" s="105">
        <v>44914</v>
      </c>
      <c r="C725" s="105">
        <v>46634</v>
      </c>
      <c r="D725" s="101" t="s">
        <v>556</v>
      </c>
      <c r="E725" s="101" t="s">
        <v>300</v>
      </c>
      <c r="F725" s="101" t="s">
        <v>299</v>
      </c>
      <c r="G725" s="101" t="s">
        <v>46</v>
      </c>
      <c r="H725" s="101" t="s">
        <v>557</v>
      </c>
      <c r="I725" s="101" t="s">
        <v>47</v>
      </c>
      <c r="J725" s="101">
        <v>217.8</v>
      </c>
      <c r="K725" s="266">
        <f>S725*6</f>
        <v>26679.628800000006</v>
      </c>
      <c r="L725" s="343">
        <f>S725*3</f>
        <v>13339.814400000003</v>
      </c>
      <c r="M725" s="17" t="s">
        <v>10</v>
      </c>
      <c r="N725" s="72" t="s">
        <v>457</v>
      </c>
      <c r="O725" s="73"/>
      <c r="P725" s="101" t="s">
        <v>46</v>
      </c>
      <c r="Q725" s="320"/>
      <c r="R725" s="319"/>
      <c r="S725" s="257">
        <f>14.5*J725*1.1*(1+0.1+0.5)*0.8</f>
        <v>4446.604800000001</v>
      </c>
      <c r="T725" s="268"/>
    </row>
    <row r="726" spans="1:20" s="269" customFormat="1" ht="20.399999999999999" x14ac:dyDescent="0.2">
      <c r="A726" s="102"/>
      <c r="B726" s="106"/>
      <c r="C726" s="323"/>
      <c r="D726" s="323"/>
      <c r="E726" s="102"/>
      <c r="F726" s="106"/>
      <c r="G726" s="106"/>
      <c r="H726" s="106"/>
      <c r="I726" s="323"/>
      <c r="J726" s="323"/>
      <c r="K726" s="204"/>
      <c r="L726" s="344"/>
      <c r="M726" s="17" t="s">
        <v>11</v>
      </c>
      <c r="N726" s="74"/>
      <c r="O726" s="75"/>
      <c r="P726" s="106"/>
      <c r="Q726" s="378"/>
      <c r="R726" s="319"/>
      <c r="S726" s="257"/>
      <c r="T726" s="268"/>
    </row>
    <row r="727" spans="1:20" s="269" customFormat="1" ht="10.199999999999999" x14ac:dyDescent="0.2">
      <c r="A727" s="102"/>
      <c r="B727" s="106"/>
      <c r="C727" s="323"/>
      <c r="D727" s="323"/>
      <c r="E727" s="323"/>
      <c r="F727" s="106"/>
      <c r="G727" s="106"/>
      <c r="H727" s="106"/>
      <c r="I727" s="323"/>
      <c r="J727" s="323"/>
      <c r="K727" s="204"/>
      <c r="L727" s="344"/>
      <c r="M727" s="17" t="s">
        <v>12</v>
      </c>
      <c r="N727" s="74"/>
      <c r="O727" s="75"/>
      <c r="P727" s="106"/>
      <c r="Q727" s="378"/>
      <c r="R727" s="319"/>
      <c r="S727" s="257"/>
      <c r="T727" s="268"/>
    </row>
    <row r="728" spans="1:20" s="269" customFormat="1" ht="10.199999999999999" x14ac:dyDescent="0.2">
      <c r="A728" s="102"/>
      <c r="B728" s="106"/>
      <c r="C728" s="323"/>
      <c r="D728" s="323"/>
      <c r="E728" s="323"/>
      <c r="F728" s="106"/>
      <c r="G728" s="106"/>
      <c r="H728" s="106"/>
      <c r="I728" s="323"/>
      <c r="J728" s="323"/>
      <c r="K728" s="204"/>
      <c r="L728" s="344"/>
      <c r="M728" s="17" t="s">
        <v>13</v>
      </c>
      <c r="N728" s="74"/>
      <c r="O728" s="75"/>
      <c r="P728" s="106"/>
      <c r="Q728" s="378"/>
      <c r="R728" s="319"/>
      <c r="S728" s="257"/>
      <c r="T728" s="268"/>
    </row>
    <row r="729" spans="1:20" s="269" customFormat="1" ht="10.199999999999999" x14ac:dyDescent="0.2">
      <c r="A729" s="102"/>
      <c r="B729" s="106"/>
      <c r="C729" s="323"/>
      <c r="D729" s="323"/>
      <c r="E729" s="323"/>
      <c r="F729" s="106"/>
      <c r="G729" s="106"/>
      <c r="H729" s="106"/>
      <c r="I729" s="323"/>
      <c r="J729" s="323"/>
      <c r="K729" s="204"/>
      <c r="L729" s="344"/>
      <c r="M729" s="17" t="s">
        <v>14</v>
      </c>
      <c r="N729" s="74"/>
      <c r="O729" s="75"/>
      <c r="P729" s="106"/>
      <c r="Q729" s="378"/>
      <c r="R729" s="319"/>
      <c r="S729" s="257"/>
      <c r="T729" s="268"/>
    </row>
    <row r="730" spans="1:20" s="269" customFormat="1" ht="10.199999999999999" x14ac:dyDescent="0.2">
      <c r="A730" s="187"/>
      <c r="B730" s="107"/>
      <c r="C730" s="324"/>
      <c r="D730" s="324"/>
      <c r="E730" s="324"/>
      <c r="F730" s="107"/>
      <c r="G730" s="107"/>
      <c r="H730" s="107"/>
      <c r="I730" s="324"/>
      <c r="J730" s="324"/>
      <c r="K730" s="204"/>
      <c r="L730" s="344"/>
      <c r="M730" s="379" t="s">
        <v>533</v>
      </c>
      <c r="N730" s="20">
        <v>413.81</v>
      </c>
      <c r="O730" s="20">
        <v>413.81</v>
      </c>
      <c r="P730" s="107"/>
      <c r="Q730" s="378"/>
      <c r="R730" s="319"/>
      <c r="S730" s="257"/>
      <c r="T730" s="268"/>
    </row>
    <row r="731" spans="1:20" s="269" customFormat="1" ht="10.199999999999999" x14ac:dyDescent="0.2">
      <c r="A731" s="58">
        <f>A725+1</f>
        <v>114</v>
      </c>
      <c r="B731" s="58">
        <v>2011</v>
      </c>
      <c r="C731" s="58" t="s">
        <v>58</v>
      </c>
      <c r="D731" s="58"/>
      <c r="E731" s="58" t="s">
        <v>300</v>
      </c>
      <c r="F731" s="58" t="s">
        <v>299</v>
      </c>
      <c r="G731" s="58" t="s">
        <v>59</v>
      </c>
      <c r="H731" s="58" t="s">
        <v>408</v>
      </c>
      <c r="I731" s="58" t="s">
        <v>60</v>
      </c>
      <c r="J731" s="58">
        <v>169.8</v>
      </c>
      <c r="K731" s="111">
        <f>S731*6</f>
        <v>18199.843200000007</v>
      </c>
      <c r="L731" s="111">
        <f>S731*3</f>
        <v>9099.9216000000033</v>
      </c>
      <c r="M731" s="49" t="s">
        <v>10</v>
      </c>
      <c r="N731" s="59" t="s">
        <v>457</v>
      </c>
      <c r="O731" s="60"/>
      <c r="P731" s="133" t="s">
        <v>59</v>
      </c>
      <c r="Q731" s="193"/>
      <c r="R731" s="319"/>
      <c r="S731" s="257">
        <f>14.5*J731*1.1*(1+0.1+0.3)*0.8</f>
        <v>3033.3072000000011</v>
      </c>
      <c r="T731" s="268"/>
    </row>
    <row r="732" spans="1:20" s="269" customFormat="1" ht="20.399999999999999" x14ac:dyDescent="0.2">
      <c r="A732" s="71"/>
      <c r="B732" s="293"/>
      <c r="C732" s="293"/>
      <c r="D732" s="293"/>
      <c r="E732" s="71"/>
      <c r="F732" s="92"/>
      <c r="G732" s="92"/>
      <c r="H732" s="293"/>
      <c r="I732" s="293"/>
      <c r="J732" s="293"/>
      <c r="K732" s="175"/>
      <c r="L732" s="175"/>
      <c r="M732" s="49" t="s">
        <v>11</v>
      </c>
      <c r="N732" s="61"/>
      <c r="O732" s="62"/>
      <c r="P732" s="293"/>
      <c r="Q732" s="176"/>
      <c r="R732" s="319"/>
      <c r="S732" s="257"/>
      <c r="T732" s="268"/>
    </row>
    <row r="733" spans="1:20" s="269" customFormat="1" ht="10.199999999999999" x14ac:dyDescent="0.2">
      <c r="A733" s="71"/>
      <c r="B733" s="293"/>
      <c r="C733" s="293"/>
      <c r="D733" s="293"/>
      <c r="E733" s="293"/>
      <c r="F733" s="92"/>
      <c r="G733" s="92"/>
      <c r="H733" s="293"/>
      <c r="I733" s="293"/>
      <c r="J733" s="293"/>
      <c r="K733" s="175"/>
      <c r="L733" s="175"/>
      <c r="M733" s="49" t="s">
        <v>12</v>
      </c>
      <c r="N733" s="61"/>
      <c r="O733" s="62"/>
      <c r="P733" s="293"/>
      <c r="Q733" s="176"/>
      <c r="R733" s="319"/>
      <c r="S733" s="257"/>
      <c r="T733" s="268"/>
    </row>
    <row r="734" spans="1:20" s="269" customFormat="1" ht="10.199999999999999" x14ac:dyDescent="0.2">
      <c r="A734" s="71"/>
      <c r="B734" s="293"/>
      <c r="C734" s="293"/>
      <c r="D734" s="293"/>
      <c r="E734" s="293"/>
      <c r="F734" s="92"/>
      <c r="G734" s="92"/>
      <c r="H734" s="293"/>
      <c r="I734" s="293"/>
      <c r="J734" s="293"/>
      <c r="K734" s="175"/>
      <c r="L734" s="175"/>
      <c r="M734" s="49" t="s">
        <v>13</v>
      </c>
      <c r="N734" s="61"/>
      <c r="O734" s="62"/>
      <c r="P734" s="293"/>
      <c r="Q734" s="176"/>
      <c r="R734" s="319"/>
      <c r="S734" s="257"/>
      <c r="T734" s="268"/>
    </row>
    <row r="735" spans="1:20" s="269" customFormat="1" ht="10.199999999999999" x14ac:dyDescent="0.2">
      <c r="A735" s="71"/>
      <c r="B735" s="293"/>
      <c r="C735" s="293"/>
      <c r="D735" s="293"/>
      <c r="E735" s="293"/>
      <c r="F735" s="92"/>
      <c r="G735" s="92"/>
      <c r="H735" s="293"/>
      <c r="I735" s="293"/>
      <c r="J735" s="293"/>
      <c r="K735" s="175"/>
      <c r="L735" s="175"/>
      <c r="M735" s="49" t="s">
        <v>14</v>
      </c>
      <c r="N735" s="61"/>
      <c r="O735" s="62"/>
      <c r="P735" s="293"/>
      <c r="Q735" s="176"/>
      <c r="R735" s="319"/>
      <c r="S735" s="257"/>
      <c r="T735" s="268"/>
    </row>
    <row r="736" spans="1:20" s="269" customFormat="1" ht="10.199999999999999" x14ac:dyDescent="0.2">
      <c r="A736" s="87"/>
      <c r="B736" s="289"/>
      <c r="C736" s="289"/>
      <c r="D736" s="289"/>
      <c r="E736" s="289"/>
      <c r="F736" s="78"/>
      <c r="G736" s="78"/>
      <c r="H736" s="289"/>
      <c r="I736" s="289"/>
      <c r="J736" s="289"/>
      <c r="K736" s="175"/>
      <c r="L736" s="175"/>
      <c r="M736" s="295" t="s">
        <v>533</v>
      </c>
      <c r="N736" s="24">
        <v>0</v>
      </c>
      <c r="O736" s="24">
        <v>0</v>
      </c>
      <c r="P736" s="289"/>
      <c r="Q736" s="176"/>
      <c r="R736" s="319"/>
      <c r="S736" s="257"/>
      <c r="T736" s="268"/>
    </row>
    <row r="737" spans="1:20" s="269" customFormat="1" ht="10.199999999999999" x14ac:dyDescent="0.2">
      <c r="A737" s="58">
        <f>A731+1</f>
        <v>115</v>
      </c>
      <c r="B737" s="95">
        <v>43332</v>
      </c>
      <c r="C737" s="95">
        <v>45157</v>
      </c>
      <c r="D737" s="58" t="s">
        <v>61</v>
      </c>
      <c r="E737" s="58" t="s">
        <v>300</v>
      </c>
      <c r="F737" s="58" t="s">
        <v>299</v>
      </c>
      <c r="G737" s="58" t="s">
        <v>59</v>
      </c>
      <c r="H737" s="58" t="s">
        <v>409</v>
      </c>
      <c r="I737" s="58" t="s">
        <v>62</v>
      </c>
      <c r="J737" s="58">
        <v>113.4</v>
      </c>
      <c r="K737" s="111">
        <f>S737*6</f>
        <v>17363.808000000005</v>
      </c>
      <c r="L737" s="111">
        <f>S737*3</f>
        <v>8681.9040000000023</v>
      </c>
      <c r="M737" s="49" t="s">
        <v>10</v>
      </c>
      <c r="N737" s="59" t="s">
        <v>457</v>
      </c>
      <c r="O737" s="60"/>
      <c r="P737" s="133" t="s">
        <v>59</v>
      </c>
      <c r="Q737" s="193"/>
      <c r="R737" s="319"/>
      <c r="S737" s="257">
        <f>14.5*J737*1.1*(1+0.1+0.9)*0.8</f>
        <v>2893.9680000000008</v>
      </c>
      <c r="T737" s="268"/>
    </row>
    <row r="738" spans="1:20" s="269" customFormat="1" ht="20.399999999999999" x14ac:dyDescent="0.2">
      <c r="A738" s="71"/>
      <c r="B738" s="293"/>
      <c r="C738" s="293"/>
      <c r="D738" s="293"/>
      <c r="E738" s="71"/>
      <c r="F738" s="92"/>
      <c r="G738" s="92"/>
      <c r="H738" s="293"/>
      <c r="I738" s="293"/>
      <c r="J738" s="293"/>
      <c r="K738" s="175"/>
      <c r="L738" s="175"/>
      <c r="M738" s="49" t="s">
        <v>11</v>
      </c>
      <c r="N738" s="61"/>
      <c r="O738" s="62"/>
      <c r="P738" s="293"/>
      <c r="Q738" s="176"/>
      <c r="R738" s="319"/>
      <c r="S738" s="257"/>
      <c r="T738" s="268"/>
    </row>
    <row r="739" spans="1:20" s="269" customFormat="1" ht="10.199999999999999" x14ac:dyDescent="0.2">
      <c r="A739" s="71"/>
      <c r="B739" s="293"/>
      <c r="C739" s="293"/>
      <c r="D739" s="293"/>
      <c r="E739" s="293"/>
      <c r="F739" s="92"/>
      <c r="G739" s="92"/>
      <c r="H739" s="293"/>
      <c r="I739" s="293"/>
      <c r="J739" s="293"/>
      <c r="K739" s="175"/>
      <c r="L739" s="175"/>
      <c r="M739" s="49" t="s">
        <v>12</v>
      </c>
      <c r="N739" s="61"/>
      <c r="O739" s="62"/>
      <c r="P739" s="293"/>
      <c r="Q739" s="176"/>
      <c r="R739" s="319"/>
      <c r="S739" s="257"/>
      <c r="T739" s="268"/>
    </row>
    <row r="740" spans="1:20" s="269" customFormat="1" ht="10.199999999999999" x14ac:dyDescent="0.2">
      <c r="A740" s="71"/>
      <c r="B740" s="293"/>
      <c r="C740" s="293"/>
      <c r="D740" s="293"/>
      <c r="E740" s="293"/>
      <c r="F740" s="92"/>
      <c r="G740" s="92"/>
      <c r="H740" s="293"/>
      <c r="I740" s="293"/>
      <c r="J740" s="293"/>
      <c r="K740" s="175"/>
      <c r="L740" s="175"/>
      <c r="M740" s="49" t="s">
        <v>13</v>
      </c>
      <c r="N740" s="61"/>
      <c r="O740" s="62"/>
      <c r="P740" s="293"/>
      <c r="Q740" s="176"/>
      <c r="R740" s="319"/>
      <c r="S740" s="257"/>
      <c r="T740" s="268"/>
    </row>
    <row r="741" spans="1:20" s="269" customFormat="1" ht="10.199999999999999" x14ac:dyDescent="0.2">
      <c r="A741" s="71"/>
      <c r="B741" s="293"/>
      <c r="C741" s="293"/>
      <c r="D741" s="293"/>
      <c r="E741" s="293"/>
      <c r="F741" s="92"/>
      <c r="G741" s="92"/>
      <c r="H741" s="293"/>
      <c r="I741" s="293"/>
      <c r="J741" s="293"/>
      <c r="K741" s="175"/>
      <c r="L741" s="175"/>
      <c r="M741" s="49" t="s">
        <v>14</v>
      </c>
      <c r="N741" s="61"/>
      <c r="O741" s="62"/>
      <c r="P741" s="293"/>
      <c r="Q741" s="176"/>
      <c r="R741" s="319"/>
      <c r="S741" s="257"/>
      <c r="T741" s="268"/>
    </row>
    <row r="742" spans="1:20" s="244" customFormat="1" x14ac:dyDescent="0.3">
      <c r="A742" s="87"/>
      <c r="B742" s="289"/>
      <c r="C742" s="289"/>
      <c r="D742" s="289"/>
      <c r="E742" s="289"/>
      <c r="F742" s="78"/>
      <c r="G742" s="78"/>
      <c r="H742" s="289"/>
      <c r="I742" s="289"/>
      <c r="J742" s="289"/>
      <c r="K742" s="175"/>
      <c r="L742" s="175"/>
      <c r="M742" s="295" t="s">
        <v>533</v>
      </c>
      <c r="N742" s="24">
        <v>3467.5</v>
      </c>
      <c r="O742" s="24">
        <v>253.66</v>
      </c>
      <c r="P742" s="289"/>
      <c r="Q742" s="176"/>
      <c r="R742" s="242"/>
      <c r="S742" s="257"/>
      <c r="T742" s="243"/>
    </row>
    <row r="743" spans="1:20" s="269" customFormat="1" ht="10.199999999999999" x14ac:dyDescent="0.2">
      <c r="A743" s="58">
        <f>A737+1</f>
        <v>116</v>
      </c>
      <c r="B743" s="95">
        <v>44572</v>
      </c>
      <c r="C743" s="95">
        <v>46397</v>
      </c>
      <c r="D743" s="58" t="s">
        <v>492</v>
      </c>
      <c r="E743" s="58" t="s">
        <v>300</v>
      </c>
      <c r="F743" s="58" t="s">
        <v>299</v>
      </c>
      <c r="G743" s="133" t="s">
        <v>59</v>
      </c>
      <c r="H743" s="58" t="s">
        <v>410</v>
      </c>
      <c r="I743" s="58" t="s">
        <v>69</v>
      </c>
      <c r="J743" s="58">
        <v>17.5</v>
      </c>
      <c r="K743" s="111">
        <f>S743*6</f>
        <v>1875.7200000000003</v>
      </c>
      <c r="L743" s="111">
        <f>S743*3</f>
        <v>937.86000000000013</v>
      </c>
      <c r="M743" s="49" t="s">
        <v>10</v>
      </c>
      <c r="N743" s="59" t="s">
        <v>457</v>
      </c>
      <c r="O743" s="82"/>
      <c r="P743" s="133" t="s">
        <v>59</v>
      </c>
      <c r="Q743" s="193"/>
      <c r="R743" s="319"/>
      <c r="S743" s="257">
        <f>14.5*J743*1.1*(1+0.1+0.3)*0.8</f>
        <v>312.62000000000006</v>
      </c>
      <c r="T743" s="268"/>
    </row>
    <row r="744" spans="1:20" s="269" customFormat="1" ht="20.399999999999999" x14ac:dyDescent="0.2">
      <c r="A744" s="71"/>
      <c r="B744" s="136"/>
      <c r="C744" s="136"/>
      <c r="D744" s="136"/>
      <c r="E744" s="71"/>
      <c r="F744" s="71"/>
      <c r="G744" s="136"/>
      <c r="H744" s="136"/>
      <c r="I744" s="136"/>
      <c r="J744" s="136"/>
      <c r="K744" s="111"/>
      <c r="L744" s="111"/>
      <c r="M744" s="49" t="s">
        <v>11</v>
      </c>
      <c r="N744" s="83"/>
      <c r="O744" s="84"/>
      <c r="P744" s="136"/>
      <c r="Q744" s="193"/>
      <c r="R744" s="319"/>
      <c r="S744" s="257"/>
      <c r="T744" s="268"/>
    </row>
    <row r="745" spans="1:20" s="269" customFormat="1" ht="10.199999999999999" x14ac:dyDescent="0.2">
      <c r="A745" s="71"/>
      <c r="B745" s="136"/>
      <c r="C745" s="136"/>
      <c r="D745" s="136"/>
      <c r="E745" s="136"/>
      <c r="F745" s="71"/>
      <c r="G745" s="136"/>
      <c r="H745" s="136"/>
      <c r="I745" s="136"/>
      <c r="J745" s="136"/>
      <c r="K745" s="111"/>
      <c r="L745" s="111"/>
      <c r="M745" s="49" t="s">
        <v>12</v>
      </c>
      <c r="N745" s="83"/>
      <c r="O745" s="84"/>
      <c r="P745" s="136"/>
      <c r="Q745" s="193"/>
      <c r="R745" s="319"/>
      <c r="S745" s="257"/>
      <c r="T745" s="268"/>
    </row>
    <row r="746" spans="1:20" s="269" customFormat="1" ht="10.199999999999999" x14ac:dyDescent="0.2">
      <c r="A746" s="71"/>
      <c r="B746" s="136"/>
      <c r="C746" s="136"/>
      <c r="D746" s="136"/>
      <c r="E746" s="136"/>
      <c r="F746" s="71"/>
      <c r="G746" s="136"/>
      <c r="H746" s="136"/>
      <c r="I746" s="136"/>
      <c r="J746" s="136"/>
      <c r="K746" s="111"/>
      <c r="L746" s="111"/>
      <c r="M746" s="49" t="s">
        <v>13</v>
      </c>
      <c r="N746" s="83"/>
      <c r="O746" s="84"/>
      <c r="P746" s="136"/>
      <c r="Q746" s="193"/>
      <c r="R746" s="319"/>
      <c r="S746" s="257"/>
      <c r="T746" s="268"/>
    </row>
    <row r="747" spans="1:20" s="269" customFormat="1" ht="10.199999999999999" x14ac:dyDescent="0.2">
      <c r="A747" s="71"/>
      <c r="B747" s="136"/>
      <c r="C747" s="136"/>
      <c r="D747" s="136"/>
      <c r="E747" s="136"/>
      <c r="F747" s="71"/>
      <c r="G747" s="136"/>
      <c r="H747" s="136"/>
      <c r="I747" s="136"/>
      <c r="J747" s="136"/>
      <c r="K747" s="111"/>
      <c r="L747" s="111"/>
      <c r="M747" s="49" t="s">
        <v>14</v>
      </c>
      <c r="N747" s="83"/>
      <c r="O747" s="84"/>
      <c r="P747" s="136"/>
      <c r="Q747" s="193"/>
      <c r="R747" s="319"/>
      <c r="S747" s="257"/>
      <c r="T747" s="268"/>
    </row>
    <row r="748" spans="1:20" s="269" customFormat="1" ht="10.199999999999999" x14ac:dyDescent="0.2">
      <c r="A748" s="87"/>
      <c r="B748" s="137"/>
      <c r="C748" s="137"/>
      <c r="D748" s="137"/>
      <c r="E748" s="137"/>
      <c r="F748" s="87"/>
      <c r="G748" s="137"/>
      <c r="H748" s="137"/>
      <c r="I748" s="137"/>
      <c r="J748" s="137"/>
      <c r="K748" s="111"/>
      <c r="L748" s="111"/>
      <c r="M748" s="295" t="s">
        <v>533</v>
      </c>
      <c r="N748" s="24">
        <v>585.1</v>
      </c>
      <c r="O748" s="24">
        <v>38.86</v>
      </c>
      <c r="P748" s="137"/>
      <c r="Q748" s="193"/>
      <c r="R748" s="319"/>
      <c r="S748" s="257"/>
      <c r="T748" s="268"/>
    </row>
    <row r="749" spans="1:20" s="269" customFormat="1" ht="10.199999999999999" x14ac:dyDescent="0.2">
      <c r="A749" s="58">
        <f>A743+1</f>
        <v>117</v>
      </c>
      <c r="B749" s="95">
        <v>44572</v>
      </c>
      <c r="C749" s="95">
        <v>46397</v>
      </c>
      <c r="D749" s="58" t="s">
        <v>490</v>
      </c>
      <c r="E749" s="58" t="s">
        <v>300</v>
      </c>
      <c r="F749" s="58" t="s">
        <v>299</v>
      </c>
      <c r="G749" s="133" t="s">
        <v>59</v>
      </c>
      <c r="H749" s="58" t="s">
        <v>411</v>
      </c>
      <c r="I749" s="58" t="s">
        <v>69</v>
      </c>
      <c r="J749" s="58">
        <v>29.1</v>
      </c>
      <c r="K749" s="111">
        <f>S749*6</f>
        <v>3402.6048000000001</v>
      </c>
      <c r="L749" s="111">
        <f>S749*3</f>
        <v>1701.3024</v>
      </c>
      <c r="M749" s="49" t="s">
        <v>10</v>
      </c>
      <c r="N749" s="59" t="s">
        <v>491</v>
      </c>
      <c r="O749" s="85"/>
      <c r="P749" s="133" t="s">
        <v>59</v>
      </c>
      <c r="Q749" s="193"/>
      <c r="R749" s="319"/>
      <c r="S749" s="257">
        <f>14.5*J749*1.2*(1+0.1+0.3)*0.8</f>
        <v>567.10080000000005</v>
      </c>
      <c r="T749" s="268"/>
    </row>
    <row r="750" spans="1:20" s="269" customFormat="1" ht="20.399999999999999" x14ac:dyDescent="0.2">
      <c r="A750" s="71"/>
      <c r="B750" s="136"/>
      <c r="C750" s="136"/>
      <c r="D750" s="136"/>
      <c r="E750" s="71"/>
      <c r="F750" s="71"/>
      <c r="G750" s="136"/>
      <c r="H750" s="136"/>
      <c r="I750" s="136"/>
      <c r="J750" s="136"/>
      <c r="K750" s="111"/>
      <c r="L750" s="111"/>
      <c r="M750" s="49" t="s">
        <v>11</v>
      </c>
      <c r="N750" s="83"/>
      <c r="O750" s="86"/>
      <c r="P750" s="136"/>
      <c r="Q750" s="193"/>
      <c r="R750" s="319"/>
      <c r="S750" s="257"/>
      <c r="T750" s="268"/>
    </row>
    <row r="751" spans="1:20" s="269" customFormat="1" ht="10.199999999999999" x14ac:dyDescent="0.2">
      <c r="A751" s="71"/>
      <c r="B751" s="136"/>
      <c r="C751" s="136"/>
      <c r="D751" s="136"/>
      <c r="E751" s="136"/>
      <c r="F751" s="71"/>
      <c r="G751" s="136"/>
      <c r="H751" s="136"/>
      <c r="I751" s="136"/>
      <c r="J751" s="136"/>
      <c r="K751" s="111"/>
      <c r="L751" s="111"/>
      <c r="M751" s="49" t="s">
        <v>12</v>
      </c>
      <c r="N751" s="83"/>
      <c r="O751" s="86"/>
      <c r="P751" s="136"/>
      <c r="Q751" s="193"/>
      <c r="R751" s="319"/>
      <c r="S751" s="257"/>
      <c r="T751" s="268"/>
    </row>
    <row r="752" spans="1:20" s="269" customFormat="1" ht="10.199999999999999" x14ac:dyDescent="0.2">
      <c r="A752" s="71"/>
      <c r="B752" s="136"/>
      <c r="C752" s="136"/>
      <c r="D752" s="136"/>
      <c r="E752" s="136"/>
      <c r="F752" s="71"/>
      <c r="G752" s="136"/>
      <c r="H752" s="136"/>
      <c r="I752" s="136"/>
      <c r="J752" s="136"/>
      <c r="K752" s="111"/>
      <c r="L752" s="111"/>
      <c r="M752" s="49" t="s">
        <v>13</v>
      </c>
      <c r="N752" s="83"/>
      <c r="O752" s="86"/>
      <c r="P752" s="136"/>
      <c r="Q752" s="193"/>
      <c r="R752" s="319"/>
      <c r="S752" s="257"/>
      <c r="T752" s="268"/>
    </row>
    <row r="753" spans="1:20" s="269" customFormat="1" ht="10.199999999999999" x14ac:dyDescent="0.2">
      <c r="A753" s="71"/>
      <c r="B753" s="136"/>
      <c r="C753" s="136"/>
      <c r="D753" s="136"/>
      <c r="E753" s="136"/>
      <c r="F753" s="71"/>
      <c r="G753" s="136"/>
      <c r="H753" s="136"/>
      <c r="I753" s="136"/>
      <c r="J753" s="136"/>
      <c r="K753" s="111"/>
      <c r="L753" s="111"/>
      <c r="M753" s="49" t="s">
        <v>14</v>
      </c>
      <c r="N753" s="83"/>
      <c r="O753" s="86"/>
      <c r="P753" s="136"/>
      <c r="Q753" s="193"/>
      <c r="R753" s="319"/>
      <c r="S753" s="257"/>
      <c r="T753" s="268"/>
    </row>
    <row r="754" spans="1:20" s="269" customFormat="1" ht="10.199999999999999" x14ac:dyDescent="0.2">
      <c r="A754" s="87"/>
      <c r="B754" s="137"/>
      <c r="C754" s="137"/>
      <c r="D754" s="137"/>
      <c r="E754" s="137"/>
      <c r="F754" s="87"/>
      <c r="G754" s="137"/>
      <c r="H754" s="137"/>
      <c r="I754" s="137"/>
      <c r="J754" s="137"/>
      <c r="K754" s="111"/>
      <c r="L754" s="111"/>
      <c r="M754" s="295" t="s">
        <v>533</v>
      </c>
      <c r="N754" s="24">
        <v>916.7</v>
      </c>
      <c r="O754" s="24">
        <v>63.8</v>
      </c>
      <c r="P754" s="137"/>
      <c r="Q754" s="193"/>
      <c r="R754" s="319"/>
      <c r="S754" s="257"/>
      <c r="T754" s="268"/>
    </row>
    <row r="755" spans="1:20" s="269" customFormat="1" ht="10.199999999999999" x14ac:dyDescent="0.2">
      <c r="A755" s="101">
        <f>A749+1</f>
        <v>118</v>
      </c>
      <c r="B755" s="156">
        <v>43616</v>
      </c>
      <c r="C755" s="105">
        <v>45442</v>
      </c>
      <c r="D755" s="57" t="s">
        <v>76</v>
      </c>
      <c r="E755" s="101" t="s">
        <v>300</v>
      </c>
      <c r="F755" s="101" t="s">
        <v>299</v>
      </c>
      <c r="G755" s="57" t="s">
        <v>77</v>
      </c>
      <c r="H755" s="57" t="s">
        <v>412</v>
      </c>
      <c r="I755" s="101" t="s">
        <v>78</v>
      </c>
      <c r="J755" s="177">
        <v>50.7</v>
      </c>
      <c r="K755" s="266">
        <f>S755*6</f>
        <v>8468.9280000000017</v>
      </c>
      <c r="L755" s="266">
        <f>S755*3</f>
        <v>4234.4640000000009</v>
      </c>
      <c r="M755" s="17" t="s">
        <v>10</v>
      </c>
      <c r="N755" s="380">
        <v>167.81</v>
      </c>
      <c r="O755" s="380">
        <v>167.81</v>
      </c>
      <c r="P755" s="57" t="s">
        <v>77</v>
      </c>
      <c r="Q755" s="320"/>
      <c r="R755" s="319"/>
      <c r="S755" s="257">
        <f>14.5*J755*1.2*(1+0.1+0.9)*0.8</f>
        <v>1411.4880000000003</v>
      </c>
      <c r="T755" s="268"/>
    </row>
    <row r="756" spans="1:20" s="269" customFormat="1" ht="20.399999999999999" x14ac:dyDescent="0.2">
      <c r="A756" s="102"/>
      <c r="B756" s="323"/>
      <c r="C756" s="323"/>
      <c r="D756" s="323"/>
      <c r="E756" s="102"/>
      <c r="F756" s="106"/>
      <c r="G756" s="323"/>
      <c r="H756" s="323"/>
      <c r="I756" s="323"/>
      <c r="J756" s="323"/>
      <c r="K756" s="204"/>
      <c r="L756" s="204"/>
      <c r="M756" s="17" t="s">
        <v>11</v>
      </c>
      <c r="N756" s="380">
        <v>102.03</v>
      </c>
      <c r="O756" s="380">
        <v>102.03</v>
      </c>
      <c r="P756" s="323"/>
      <c r="Q756" s="378"/>
      <c r="R756" s="319"/>
      <c r="S756" s="257"/>
      <c r="T756" s="268"/>
    </row>
    <row r="757" spans="1:20" s="269" customFormat="1" ht="10.199999999999999" x14ac:dyDescent="0.2">
      <c r="A757" s="102"/>
      <c r="B757" s="323"/>
      <c r="C757" s="323"/>
      <c r="D757" s="323"/>
      <c r="E757" s="323"/>
      <c r="F757" s="106"/>
      <c r="G757" s="323"/>
      <c r="H757" s="323"/>
      <c r="I757" s="323"/>
      <c r="J757" s="323"/>
      <c r="K757" s="204"/>
      <c r="L757" s="204"/>
      <c r="M757" s="17" t="s">
        <v>12</v>
      </c>
      <c r="N757" s="380">
        <v>0</v>
      </c>
      <c r="O757" s="380">
        <v>0</v>
      </c>
      <c r="P757" s="323"/>
      <c r="Q757" s="378"/>
      <c r="R757" s="319"/>
      <c r="S757" s="257"/>
      <c r="T757" s="268"/>
    </row>
    <row r="758" spans="1:20" s="269" customFormat="1" ht="10.199999999999999" x14ac:dyDescent="0.2">
      <c r="A758" s="102"/>
      <c r="B758" s="323"/>
      <c r="C758" s="323"/>
      <c r="D758" s="323"/>
      <c r="E758" s="323"/>
      <c r="F758" s="106"/>
      <c r="G758" s="323"/>
      <c r="H758" s="323"/>
      <c r="I758" s="323"/>
      <c r="J758" s="323"/>
      <c r="K758" s="204"/>
      <c r="L758" s="204"/>
      <c r="M758" s="17" t="s">
        <v>13</v>
      </c>
      <c r="N758" s="380">
        <v>172.31</v>
      </c>
      <c r="O758" s="380">
        <v>172.31</v>
      </c>
      <c r="P758" s="323"/>
      <c r="Q758" s="378"/>
      <c r="R758" s="319"/>
      <c r="S758" s="257"/>
      <c r="T758" s="268"/>
    </row>
    <row r="759" spans="1:20" s="269" customFormat="1" ht="10.199999999999999" x14ac:dyDescent="0.2">
      <c r="A759" s="102"/>
      <c r="B759" s="323"/>
      <c r="C759" s="323"/>
      <c r="D759" s="323"/>
      <c r="E759" s="323"/>
      <c r="F759" s="106"/>
      <c r="G759" s="323"/>
      <c r="H759" s="323"/>
      <c r="I759" s="323"/>
      <c r="J759" s="323"/>
      <c r="K759" s="204"/>
      <c r="L759" s="204"/>
      <c r="M759" s="17" t="s">
        <v>14</v>
      </c>
      <c r="N759" s="380">
        <v>0</v>
      </c>
      <c r="O759" s="380">
        <v>0</v>
      </c>
      <c r="P759" s="323"/>
      <c r="Q759" s="378"/>
      <c r="R759" s="319"/>
      <c r="S759" s="257"/>
      <c r="T759" s="268"/>
    </row>
    <row r="760" spans="1:20" s="269" customFormat="1" ht="10.199999999999999" x14ac:dyDescent="0.2">
      <c r="A760" s="187"/>
      <c r="B760" s="324"/>
      <c r="C760" s="324"/>
      <c r="D760" s="324"/>
      <c r="E760" s="324"/>
      <c r="F760" s="107"/>
      <c r="G760" s="324"/>
      <c r="H760" s="324"/>
      <c r="I760" s="324"/>
      <c r="J760" s="324"/>
      <c r="K760" s="204"/>
      <c r="L760" s="204"/>
      <c r="M760" s="381" t="s">
        <v>533</v>
      </c>
      <c r="N760" s="382">
        <v>97.34</v>
      </c>
      <c r="O760" s="382">
        <v>97.34</v>
      </c>
      <c r="P760" s="324"/>
      <c r="Q760" s="378"/>
      <c r="R760" s="319"/>
      <c r="S760" s="257"/>
      <c r="T760" s="268"/>
    </row>
    <row r="761" spans="1:20" s="269" customFormat="1" ht="10.199999999999999" x14ac:dyDescent="0.2">
      <c r="A761" s="58">
        <f>A755+1</f>
        <v>119</v>
      </c>
      <c r="B761" s="95">
        <v>44924</v>
      </c>
      <c r="C761" s="95">
        <v>45950</v>
      </c>
      <c r="D761" s="58" t="s">
        <v>559</v>
      </c>
      <c r="E761" s="58" t="s">
        <v>300</v>
      </c>
      <c r="F761" s="58" t="s">
        <v>299</v>
      </c>
      <c r="G761" s="58" t="s">
        <v>59</v>
      </c>
      <c r="H761" s="58" t="s">
        <v>413</v>
      </c>
      <c r="I761" s="58" t="s">
        <v>80</v>
      </c>
      <c r="J761" s="58">
        <v>63.1</v>
      </c>
      <c r="K761" s="111">
        <f>S761*6</f>
        <v>6280.216800000002</v>
      </c>
      <c r="L761" s="111">
        <f>S761*3</f>
        <v>3140.108400000001</v>
      </c>
      <c r="M761" s="49" t="s">
        <v>10</v>
      </c>
      <c r="N761" s="59" t="s">
        <v>457</v>
      </c>
      <c r="O761" s="82"/>
      <c r="P761" s="58" t="s">
        <v>59</v>
      </c>
      <c r="Q761" s="193"/>
      <c r="R761" s="319"/>
      <c r="S761" s="257">
        <f>14.5*J761*1.1*(1+0.1+0.2)*0.8</f>
        <v>1046.7028000000003</v>
      </c>
      <c r="T761" s="268"/>
    </row>
    <row r="762" spans="1:20" s="269" customFormat="1" ht="20.399999999999999" x14ac:dyDescent="0.2">
      <c r="A762" s="71"/>
      <c r="B762" s="136"/>
      <c r="C762" s="136"/>
      <c r="D762" s="136"/>
      <c r="E762" s="71"/>
      <c r="F762" s="71"/>
      <c r="G762" s="136"/>
      <c r="H762" s="136"/>
      <c r="I762" s="136"/>
      <c r="J762" s="136"/>
      <c r="K762" s="111"/>
      <c r="L762" s="111"/>
      <c r="M762" s="49" t="s">
        <v>11</v>
      </c>
      <c r="N762" s="83"/>
      <c r="O762" s="84"/>
      <c r="P762" s="136"/>
      <c r="Q762" s="193"/>
      <c r="R762" s="319"/>
      <c r="S762" s="257"/>
      <c r="T762" s="268"/>
    </row>
    <row r="763" spans="1:20" s="269" customFormat="1" ht="10.199999999999999" x14ac:dyDescent="0.2">
      <c r="A763" s="71"/>
      <c r="B763" s="136"/>
      <c r="C763" s="136"/>
      <c r="D763" s="136"/>
      <c r="E763" s="136"/>
      <c r="F763" s="71"/>
      <c r="G763" s="136"/>
      <c r="H763" s="136"/>
      <c r="I763" s="136"/>
      <c r="J763" s="136"/>
      <c r="K763" s="111"/>
      <c r="L763" s="111"/>
      <c r="M763" s="49" t="s">
        <v>12</v>
      </c>
      <c r="N763" s="83"/>
      <c r="O763" s="84"/>
      <c r="P763" s="136"/>
      <c r="Q763" s="193"/>
      <c r="R763" s="319"/>
      <c r="S763" s="257"/>
      <c r="T763" s="268"/>
    </row>
    <row r="764" spans="1:20" s="269" customFormat="1" ht="10.199999999999999" x14ac:dyDescent="0.2">
      <c r="A764" s="71"/>
      <c r="B764" s="136"/>
      <c r="C764" s="136"/>
      <c r="D764" s="136"/>
      <c r="E764" s="136"/>
      <c r="F764" s="71"/>
      <c r="G764" s="136"/>
      <c r="H764" s="136"/>
      <c r="I764" s="136"/>
      <c r="J764" s="136"/>
      <c r="K764" s="111"/>
      <c r="L764" s="111"/>
      <c r="M764" s="49" t="s">
        <v>13</v>
      </c>
      <c r="N764" s="83"/>
      <c r="O764" s="84"/>
      <c r="P764" s="136"/>
      <c r="Q764" s="193"/>
      <c r="R764" s="319"/>
      <c r="S764" s="257"/>
      <c r="T764" s="268"/>
    </row>
    <row r="765" spans="1:20" s="269" customFormat="1" ht="10.199999999999999" x14ac:dyDescent="0.2">
      <c r="A765" s="71"/>
      <c r="B765" s="136"/>
      <c r="C765" s="136"/>
      <c r="D765" s="136"/>
      <c r="E765" s="136"/>
      <c r="F765" s="71"/>
      <c r="G765" s="136"/>
      <c r="H765" s="136"/>
      <c r="I765" s="136"/>
      <c r="J765" s="136"/>
      <c r="K765" s="111"/>
      <c r="L765" s="111"/>
      <c r="M765" s="49" t="s">
        <v>14</v>
      </c>
      <c r="N765" s="83"/>
      <c r="O765" s="84"/>
      <c r="P765" s="136"/>
      <c r="Q765" s="193"/>
      <c r="R765" s="319"/>
      <c r="S765" s="257"/>
      <c r="T765" s="268"/>
    </row>
    <row r="766" spans="1:20" s="269" customFormat="1" ht="10.199999999999999" x14ac:dyDescent="0.2">
      <c r="A766" s="87"/>
      <c r="B766" s="137"/>
      <c r="C766" s="137"/>
      <c r="D766" s="137"/>
      <c r="E766" s="137"/>
      <c r="F766" s="87"/>
      <c r="G766" s="137"/>
      <c r="H766" s="137"/>
      <c r="I766" s="137"/>
      <c r="J766" s="137"/>
      <c r="K766" s="111"/>
      <c r="L766" s="111"/>
      <c r="M766" s="295" t="s">
        <v>533</v>
      </c>
      <c r="N766" s="24">
        <v>1929.2</v>
      </c>
      <c r="O766" s="24">
        <v>141.19999999999999</v>
      </c>
      <c r="P766" s="137"/>
      <c r="Q766" s="193"/>
      <c r="R766" s="319"/>
      <c r="S766" s="257"/>
      <c r="T766" s="268"/>
    </row>
    <row r="767" spans="1:20" s="269" customFormat="1" ht="10.199999999999999" x14ac:dyDescent="0.2">
      <c r="A767" s="101">
        <f>A761+1</f>
        <v>120</v>
      </c>
      <c r="B767" s="156">
        <v>44816</v>
      </c>
      <c r="C767" s="156">
        <v>45838</v>
      </c>
      <c r="D767" s="57" t="s">
        <v>529</v>
      </c>
      <c r="E767" s="57" t="s">
        <v>300</v>
      </c>
      <c r="F767" s="101" t="s">
        <v>299</v>
      </c>
      <c r="G767" s="57" t="s">
        <v>81</v>
      </c>
      <c r="H767" s="57" t="s">
        <v>414</v>
      </c>
      <c r="I767" s="57" t="s">
        <v>82</v>
      </c>
      <c r="J767" s="113">
        <v>133.24</v>
      </c>
      <c r="K767" s="112">
        <f>(S767+S772)*6</f>
        <v>36865.783680000008</v>
      </c>
      <c r="L767" s="112">
        <f>(S767+S772)*3</f>
        <v>18432.891840000004</v>
      </c>
      <c r="M767" s="17" t="s">
        <v>10</v>
      </c>
      <c r="N767" s="72" t="s">
        <v>457</v>
      </c>
      <c r="O767" s="73"/>
      <c r="P767" s="57" t="s">
        <v>479</v>
      </c>
      <c r="Q767" s="148"/>
      <c r="R767" s="319"/>
      <c r="S767" s="257">
        <f>14.5*J767*1.1*(1+0.1+1.1)*0.8</f>
        <v>3740.3132800000008</v>
      </c>
      <c r="T767" s="268"/>
    </row>
    <row r="768" spans="1:20" s="269" customFormat="1" ht="20.399999999999999" x14ac:dyDescent="0.2">
      <c r="A768" s="102"/>
      <c r="B768" s="102"/>
      <c r="C768" s="102"/>
      <c r="D768" s="194"/>
      <c r="E768" s="102"/>
      <c r="F768" s="106"/>
      <c r="G768" s="194"/>
      <c r="H768" s="260"/>
      <c r="I768" s="194"/>
      <c r="J768" s="204"/>
      <c r="K768" s="150"/>
      <c r="L768" s="150"/>
      <c r="M768" s="17" t="s">
        <v>11</v>
      </c>
      <c r="N768" s="74"/>
      <c r="O768" s="75"/>
      <c r="P768" s="194"/>
      <c r="Q768" s="114"/>
      <c r="R768" s="319"/>
      <c r="S768" s="257"/>
      <c r="T768" s="268"/>
    </row>
    <row r="769" spans="1:20" s="269" customFormat="1" ht="10.199999999999999" x14ac:dyDescent="0.2">
      <c r="A769" s="102"/>
      <c r="B769" s="102"/>
      <c r="C769" s="102"/>
      <c r="D769" s="194"/>
      <c r="E769" s="102"/>
      <c r="F769" s="106"/>
      <c r="G769" s="194"/>
      <c r="H769" s="260"/>
      <c r="I769" s="194"/>
      <c r="J769" s="114"/>
      <c r="K769" s="150"/>
      <c r="L769" s="150"/>
      <c r="M769" s="17" t="s">
        <v>12</v>
      </c>
      <c r="N769" s="76"/>
      <c r="O769" s="77"/>
      <c r="P769" s="194"/>
      <c r="Q769" s="114"/>
      <c r="R769" s="319"/>
      <c r="S769" s="268"/>
      <c r="T769" s="268"/>
    </row>
    <row r="770" spans="1:20" s="269" customFormat="1" ht="10.199999999999999" x14ac:dyDescent="0.2">
      <c r="A770" s="102"/>
      <c r="B770" s="323"/>
      <c r="C770" s="323"/>
      <c r="D770" s="323"/>
      <c r="E770" s="323"/>
      <c r="F770" s="106"/>
      <c r="G770" s="323"/>
      <c r="H770" s="148" t="s">
        <v>415</v>
      </c>
      <c r="I770" s="323"/>
      <c r="J770" s="113">
        <v>62.8</v>
      </c>
      <c r="K770" s="150"/>
      <c r="L770" s="150"/>
      <c r="M770" s="17" t="s">
        <v>13</v>
      </c>
      <c r="N770" s="383">
        <v>508.31</v>
      </c>
      <c r="O770" s="383">
        <v>508.31</v>
      </c>
      <c r="P770" s="325"/>
      <c r="Q770" s="114"/>
      <c r="R770" s="319"/>
      <c r="S770" s="268"/>
      <c r="T770" s="268"/>
    </row>
    <row r="771" spans="1:20" s="269" customFormat="1" x14ac:dyDescent="0.2">
      <c r="A771" s="102"/>
      <c r="B771" s="323"/>
      <c r="C771" s="323"/>
      <c r="D771" s="323"/>
      <c r="E771" s="323"/>
      <c r="F771" s="106"/>
      <c r="G771" s="323"/>
      <c r="H771" s="148"/>
      <c r="I771" s="323"/>
      <c r="J771" s="113"/>
      <c r="K771" s="150"/>
      <c r="L771" s="150"/>
      <c r="M771" s="17" t="s">
        <v>14</v>
      </c>
      <c r="N771" s="214" t="s">
        <v>457</v>
      </c>
      <c r="O771" s="215"/>
      <c r="P771" s="325"/>
      <c r="Q771" s="114"/>
      <c r="R771" s="319"/>
      <c r="S771" s="268"/>
      <c r="T771" s="268"/>
    </row>
    <row r="772" spans="1:20" s="269" customFormat="1" ht="10.199999999999999" x14ac:dyDescent="0.2">
      <c r="A772" s="187"/>
      <c r="B772" s="324"/>
      <c r="C772" s="324"/>
      <c r="D772" s="324"/>
      <c r="E772" s="324"/>
      <c r="F772" s="107"/>
      <c r="G772" s="324"/>
      <c r="H772" s="148"/>
      <c r="I772" s="324"/>
      <c r="J772" s="114"/>
      <c r="K772" s="151"/>
      <c r="L772" s="151"/>
      <c r="M772" s="381" t="s">
        <v>533</v>
      </c>
      <c r="N772" s="382">
        <v>378.1</v>
      </c>
      <c r="O772" s="382">
        <v>378.1</v>
      </c>
      <c r="P772" s="329"/>
      <c r="Q772" s="114"/>
      <c r="R772" s="319"/>
      <c r="S772" s="384">
        <f>14.5*J770*1*(1+1.2+1.1)*0.8</f>
        <v>2403.9839999999999</v>
      </c>
      <c r="T772" s="268"/>
    </row>
    <row r="773" spans="1:20" s="269" customFormat="1" ht="10.199999999999999" x14ac:dyDescent="0.2">
      <c r="A773" s="58">
        <f>A767+1</f>
        <v>121</v>
      </c>
      <c r="B773" s="70">
        <v>43740</v>
      </c>
      <c r="C773" s="70">
        <v>45566</v>
      </c>
      <c r="D773" s="58" t="s">
        <v>84</v>
      </c>
      <c r="E773" s="110" t="s">
        <v>300</v>
      </c>
      <c r="F773" s="58" t="s">
        <v>299</v>
      </c>
      <c r="G773" s="110" t="s">
        <v>85</v>
      </c>
      <c r="H773" s="110" t="s">
        <v>416</v>
      </c>
      <c r="I773" s="110" t="s">
        <v>486</v>
      </c>
      <c r="J773" s="123">
        <v>112</v>
      </c>
      <c r="K773" s="115">
        <f>S773*6</f>
        <v>30868.992000000002</v>
      </c>
      <c r="L773" s="111">
        <f>S773*3</f>
        <v>15434.496000000001</v>
      </c>
      <c r="M773" s="49" t="s">
        <v>10</v>
      </c>
      <c r="N773" s="59" t="s">
        <v>457</v>
      </c>
      <c r="O773" s="82"/>
      <c r="P773" s="110" t="s">
        <v>85</v>
      </c>
      <c r="Q773" s="193"/>
      <c r="R773" s="319"/>
      <c r="S773" s="257">
        <f>14.5*J773*1.2*(1+0.1+1.1)*1.2</f>
        <v>5144.8320000000003</v>
      </c>
      <c r="T773" s="268"/>
    </row>
    <row r="774" spans="1:20" s="269" customFormat="1" ht="20.399999999999999" x14ac:dyDescent="0.2">
      <c r="A774" s="71"/>
      <c r="B774" s="136"/>
      <c r="C774" s="136"/>
      <c r="D774" s="136"/>
      <c r="E774" s="71"/>
      <c r="F774" s="71"/>
      <c r="G774" s="136"/>
      <c r="H774" s="136"/>
      <c r="I774" s="129"/>
      <c r="J774" s="136"/>
      <c r="K774" s="111"/>
      <c r="L774" s="111"/>
      <c r="M774" s="49" t="s">
        <v>11</v>
      </c>
      <c r="N774" s="83"/>
      <c r="O774" s="84"/>
      <c r="P774" s="136"/>
      <c r="Q774" s="193"/>
      <c r="R774" s="319"/>
      <c r="S774" s="257"/>
      <c r="T774" s="268"/>
    </row>
    <row r="775" spans="1:20" s="269" customFormat="1" ht="10.199999999999999" x14ac:dyDescent="0.2">
      <c r="A775" s="71"/>
      <c r="B775" s="136"/>
      <c r="C775" s="136"/>
      <c r="D775" s="136"/>
      <c r="E775" s="71"/>
      <c r="F775" s="71"/>
      <c r="G775" s="136"/>
      <c r="H775" s="136"/>
      <c r="I775" s="129"/>
      <c r="J775" s="136"/>
      <c r="K775" s="111"/>
      <c r="L775" s="111"/>
      <c r="M775" s="49" t="s">
        <v>12</v>
      </c>
      <c r="N775" s="83"/>
      <c r="O775" s="84"/>
      <c r="P775" s="136"/>
      <c r="Q775" s="193"/>
      <c r="R775" s="319"/>
      <c r="S775" s="257"/>
      <c r="T775" s="268"/>
    </row>
    <row r="776" spans="1:20" s="269" customFormat="1" ht="10.199999999999999" x14ac:dyDescent="0.2">
      <c r="A776" s="71"/>
      <c r="B776" s="136"/>
      <c r="C776" s="136"/>
      <c r="D776" s="136"/>
      <c r="E776" s="136"/>
      <c r="F776" s="71"/>
      <c r="G776" s="136"/>
      <c r="H776" s="136"/>
      <c r="I776" s="136"/>
      <c r="J776" s="136"/>
      <c r="K776" s="111"/>
      <c r="L776" s="111"/>
      <c r="M776" s="49" t="s">
        <v>13</v>
      </c>
      <c r="N776" s="83"/>
      <c r="O776" s="84"/>
      <c r="P776" s="136"/>
      <c r="Q776" s="193"/>
      <c r="R776" s="319"/>
      <c r="S776" s="257"/>
      <c r="T776" s="268"/>
    </row>
    <row r="777" spans="1:20" s="269" customFormat="1" ht="10.199999999999999" x14ac:dyDescent="0.2">
      <c r="A777" s="71"/>
      <c r="B777" s="136"/>
      <c r="C777" s="136"/>
      <c r="D777" s="136"/>
      <c r="E777" s="136"/>
      <c r="F777" s="71"/>
      <c r="G777" s="136"/>
      <c r="H777" s="136"/>
      <c r="I777" s="136"/>
      <c r="J777" s="136"/>
      <c r="K777" s="111"/>
      <c r="L777" s="111"/>
      <c r="M777" s="49" t="s">
        <v>14</v>
      </c>
      <c r="N777" s="83"/>
      <c r="O777" s="84"/>
      <c r="P777" s="136"/>
      <c r="Q777" s="193"/>
      <c r="R777" s="319"/>
      <c r="S777" s="257"/>
      <c r="T777" s="268"/>
    </row>
    <row r="778" spans="1:20" s="269" customFormat="1" ht="10.199999999999999" x14ac:dyDescent="0.2">
      <c r="A778" s="87"/>
      <c r="B778" s="137"/>
      <c r="C778" s="137"/>
      <c r="D778" s="137"/>
      <c r="E778" s="137"/>
      <c r="F778" s="87"/>
      <c r="G778" s="137"/>
      <c r="H778" s="137"/>
      <c r="I778" s="137"/>
      <c r="J778" s="137"/>
      <c r="K778" s="111"/>
      <c r="L778" s="111"/>
      <c r="M778" s="295" t="s">
        <v>533</v>
      </c>
      <c r="N778" s="24">
        <v>460.4</v>
      </c>
      <c r="O778" s="24">
        <v>212.8</v>
      </c>
      <c r="P778" s="137"/>
      <c r="Q778" s="193"/>
      <c r="R778" s="319"/>
      <c r="S778" s="257"/>
      <c r="T778" s="268"/>
    </row>
    <row r="779" spans="1:20" s="269" customFormat="1" ht="10.199999999999999" x14ac:dyDescent="0.2">
      <c r="A779" s="58">
        <f>A773+1</f>
        <v>122</v>
      </c>
      <c r="B779" s="95">
        <v>45092</v>
      </c>
      <c r="C779" s="95">
        <v>46024</v>
      </c>
      <c r="D779" s="58" t="s">
        <v>646</v>
      </c>
      <c r="E779" s="110" t="s">
        <v>300</v>
      </c>
      <c r="F779" s="58" t="s">
        <v>299</v>
      </c>
      <c r="G779" s="58" t="s">
        <v>96</v>
      </c>
      <c r="H779" s="58" t="s">
        <v>417</v>
      </c>
      <c r="I779" s="58" t="s">
        <v>97</v>
      </c>
      <c r="J779" s="58">
        <v>201.9</v>
      </c>
      <c r="K779" s="115">
        <f>S779*6</f>
        <v>5445.2430000000004</v>
      </c>
      <c r="L779" s="111">
        <f>S779*3</f>
        <v>2722.6215000000002</v>
      </c>
      <c r="M779" s="49" t="s">
        <v>10</v>
      </c>
      <c r="N779" s="59" t="s">
        <v>457</v>
      </c>
      <c r="O779" s="82"/>
      <c r="P779" s="58" t="s">
        <v>96</v>
      </c>
      <c r="Q779" s="193"/>
      <c r="R779" s="319"/>
      <c r="S779" s="257">
        <f>14.5*J779*1*(1+1.2+0.9)*0.1</f>
        <v>907.54050000000007</v>
      </c>
      <c r="T779" s="268"/>
    </row>
    <row r="780" spans="1:20" s="269" customFormat="1" ht="20.399999999999999" x14ac:dyDescent="0.2">
      <c r="A780" s="71"/>
      <c r="B780" s="136"/>
      <c r="C780" s="136"/>
      <c r="D780" s="136"/>
      <c r="E780" s="71"/>
      <c r="F780" s="71"/>
      <c r="G780" s="136"/>
      <c r="H780" s="136"/>
      <c r="I780" s="136"/>
      <c r="J780" s="136"/>
      <c r="K780" s="111"/>
      <c r="L780" s="111"/>
      <c r="M780" s="49" t="s">
        <v>11</v>
      </c>
      <c r="N780" s="83"/>
      <c r="O780" s="84"/>
      <c r="P780" s="136"/>
      <c r="Q780" s="193"/>
      <c r="R780" s="319"/>
      <c r="S780" s="257"/>
      <c r="T780" s="268"/>
    </row>
    <row r="781" spans="1:20" s="269" customFormat="1" ht="10.199999999999999" x14ac:dyDescent="0.2">
      <c r="A781" s="71"/>
      <c r="B781" s="136"/>
      <c r="C781" s="136"/>
      <c r="D781" s="136"/>
      <c r="E781" s="71"/>
      <c r="F781" s="71"/>
      <c r="G781" s="136"/>
      <c r="H781" s="136"/>
      <c r="I781" s="136"/>
      <c r="J781" s="136"/>
      <c r="K781" s="111"/>
      <c r="L781" s="111"/>
      <c r="M781" s="49" t="s">
        <v>12</v>
      </c>
      <c r="N781" s="83"/>
      <c r="O781" s="84"/>
      <c r="P781" s="136"/>
      <c r="Q781" s="193"/>
      <c r="R781" s="319"/>
      <c r="S781" s="257"/>
      <c r="T781" s="268"/>
    </row>
    <row r="782" spans="1:20" s="269" customFormat="1" ht="10.199999999999999" x14ac:dyDescent="0.2">
      <c r="A782" s="71"/>
      <c r="B782" s="136"/>
      <c r="C782" s="136"/>
      <c r="D782" s="136"/>
      <c r="E782" s="136"/>
      <c r="F782" s="71"/>
      <c r="G782" s="136"/>
      <c r="H782" s="136"/>
      <c r="I782" s="136"/>
      <c r="J782" s="136"/>
      <c r="K782" s="111"/>
      <c r="L782" s="111"/>
      <c r="M782" s="49" t="s">
        <v>13</v>
      </c>
      <c r="N782" s="83"/>
      <c r="O782" s="84"/>
      <c r="P782" s="136"/>
      <c r="Q782" s="193"/>
      <c r="R782" s="319"/>
      <c r="S782" s="257"/>
      <c r="T782" s="268"/>
    </row>
    <row r="783" spans="1:20" s="269" customFormat="1" ht="10.199999999999999" x14ac:dyDescent="0.2">
      <c r="A783" s="71"/>
      <c r="B783" s="136"/>
      <c r="C783" s="136"/>
      <c r="D783" s="136"/>
      <c r="E783" s="136"/>
      <c r="F783" s="71"/>
      <c r="G783" s="136"/>
      <c r="H783" s="136"/>
      <c r="I783" s="136"/>
      <c r="J783" s="136"/>
      <c r="K783" s="111"/>
      <c r="L783" s="111"/>
      <c r="M783" s="49" t="s">
        <v>14</v>
      </c>
      <c r="N783" s="83"/>
      <c r="O783" s="84"/>
      <c r="P783" s="136"/>
      <c r="Q783" s="193"/>
      <c r="R783" s="319"/>
      <c r="S783" s="257"/>
      <c r="T783" s="268"/>
    </row>
    <row r="784" spans="1:20" s="269" customFormat="1" ht="10.199999999999999" x14ac:dyDescent="0.2">
      <c r="A784" s="87"/>
      <c r="B784" s="137"/>
      <c r="C784" s="137"/>
      <c r="D784" s="137"/>
      <c r="E784" s="137"/>
      <c r="F784" s="87"/>
      <c r="G784" s="137"/>
      <c r="H784" s="137"/>
      <c r="I784" s="137"/>
      <c r="J784" s="137"/>
      <c r="K784" s="111"/>
      <c r="L784" s="111"/>
      <c r="M784" s="295" t="s">
        <v>533</v>
      </c>
      <c r="N784" s="24">
        <v>280.64999999999998</v>
      </c>
      <c r="O784" s="24">
        <v>280.64999999999998</v>
      </c>
      <c r="P784" s="137"/>
      <c r="Q784" s="193"/>
      <c r="R784" s="319"/>
      <c r="S784" s="257"/>
      <c r="T784" s="268"/>
    </row>
    <row r="785" spans="1:20" s="269" customFormat="1" ht="10.199999999999999" x14ac:dyDescent="0.2">
      <c r="A785" s="58">
        <f>A779+1</f>
        <v>123</v>
      </c>
      <c r="B785" s="95">
        <v>45098</v>
      </c>
      <c r="C785" s="95">
        <v>46023</v>
      </c>
      <c r="D785" s="58" t="s">
        <v>637</v>
      </c>
      <c r="E785" s="58" t="s">
        <v>300</v>
      </c>
      <c r="F785" s="58" t="s">
        <v>299</v>
      </c>
      <c r="G785" s="58" t="s">
        <v>99</v>
      </c>
      <c r="H785" s="58" t="s">
        <v>418</v>
      </c>
      <c r="I785" s="58" t="s">
        <v>100</v>
      </c>
      <c r="J785" s="58">
        <v>68.5</v>
      </c>
      <c r="K785" s="115">
        <f>(S785+S787+S790)*6</f>
        <v>79534.790999999997</v>
      </c>
      <c r="L785" s="111">
        <f>(S785+S787+S790)*3</f>
        <v>39767.395499999999</v>
      </c>
      <c r="M785" s="49" t="s">
        <v>10</v>
      </c>
      <c r="N785" s="59" t="s">
        <v>457</v>
      </c>
      <c r="O785" s="60"/>
      <c r="P785" s="58" t="s">
        <v>99</v>
      </c>
      <c r="Q785" s="193"/>
      <c r="R785" s="319"/>
      <c r="S785" s="257">
        <f>14.5*J785*1*(1+1.2+0.9)*0.9</f>
        <v>2771.1675000000005</v>
      </c>
      <c r="T785" s="268"/>
    </row>
    <row r="786" spans="1:20" s="269" customFormat="1" ht="20.399999999999999" x14ac:dyDescent="0.2">
      <c r="A786" s="71"/>
      <c r="B786" s="71"/>
      <c r="C786" s="71"/>
      <c r="D786" s="71"/>
      <c r="E786" s="71"/>
      <c r="F786" s="92"/>
      <c r="G786" s="71"/>
      <c r="H786" s="254"/>
      <c r="I786" s="71"/>
      <c r="J786" s="254"/>
      <c r="K786" s="175"/>
      <c r="L786" s="175"/>
      <c r="M786" s="49" t="s">
        <v>11</v>
      </c>
      <c r="N786" s="61"/>
      <c r="O786" s="62"/>
      <c r="P786" s="71"/>
      <c r="Q786" s="176"/>
      <c r="R786" s="319"/>
      <c r="S786" s="257"/>
      <c r="T786" s="268"/>
    </row>
    <row r="787" spans="1:20" s="269" customFormat="1" ht="10.199999999999999" x14ac:dyDescent="0.2">
      <c r="A787" s="71"/>
      <c r="B787" s="71"/>
      <c r="C787" s="71"/>
      <c r="D787" s="71"/>
      <c r="E787" s="71"/>
      <c r="F787" s="92"/>
      <c r="G787" s="71"/>
      <c r="H787" s="58" t="s">
        <v>638</v>
      </c>
      <c r="I787" s="71"/>
      <c r="J787" s="58">
        <v>131</v>
      </c>
      <c r="K787" s="175"/>
      <c r="L787" s="175"/>
      <c r="M787" s="49" t="s">
        <v>12</v>
      </c>
      <c r="N787" s="61"/>
      <c r="O787" s="62"/>
      <c r="P787" s="71"/>
      <c r="Q787" s="176"/>
      <c r="R787" s="319"/>
      <c r="S787" s="257">
        <f>14.5*J787*1*(1+1.2+0.9)*0.9</f>
        <v>5299.6049999999996</v>
      </c>
      <c r="T787" s="268"/>
    </row>
    <row r="788" spans="1:20" s="269" customFormat="1" ht="10.199999999999999" x14ac:dyDescent="0.2">
      <c r="A788" s="71"/>
      <c r="B788" s="293"/>
      <c r="C788" s="293"/>
      <c r="D788" s="293"/>
      <c r="E788" s="293"/>
      <c r="F788" s="92"/>
      <c r="G788" s="293"/>
      <c r="H788" s="254"/>
      <c r="I788" s="293"/>
      <c r="J788" s="289"/>
      <c r="K788" s="175"/>
      <c r="L788" s="175"/>
      <c r="M788" s="49" t="s">
        <v>13</v>
      </c>
      <c r="N788" s="61"/>
      <c r="O788" s="62"/>
      <c r="P788" s="293"/>
      <c r="Q788" s="176"/>
      <c r="R788" s="319"/>
      <c r="S788" s="257"/>
      <c r="T788" s="268"/>
    </row>
    <row r="789" spans="1:20" s="269" customFormat="1" x14ac:dyDescent="0.3">
      <c r="A789" s="71"/>
      <c r="B789" s="293"/>
      <c r="C789" s="293"/>
      <c r="D789" s="293"/>
      <c r="E789" s="293"/>
      <c r="F789" s="92"/>
      <c r="G789" s="293"/>
      <c r="H789" s="58" t="s">
        <v>419</v>
      </c>
      <c r="I789" s="293"/>
      <c r="J789" s="58">
        <v>180.6</v>
      </c>
      <c r="K789" s="175"/>
      <c r="L789" s="175"/>
      <c r="M789" s="49" t="s">
        <v>14</v>
      </c>
      <c r="N789" s="61"/>
      <c r="O789" s="62"/>
      <c r="P789" s="293"/>
      <c r="Q789" s="176"/>
      <c r="R789" s="319"/>
      <c r="S789" s="394"/>
      <c r="T789" s="268"/>
    </row>
    <row r="790" spans="1:20" s="244" customFormat="1" x14ac:dyDescent="0.3">
      <c r="A790" s="87"/>
      <c r="B790" s="289"/>
      <c r="C790" s="289"/>
      <c r="D790" s="289"/>
      <c r="E790" s="289"/>
      <c r="F790" s="78"/>
      <c r="G790" s="289"/>
      <c r="H790" s="254"/>
      <c r="I790" s="289"/>
      <c r="J790" s="289"/>
      <c r="K790" s="175"/>
      <c r="L790" s="175"/>
      <c r="M790" s="295" t="s">
        <v>533</v>
      </c>
      <c r="N790" s="24">
        <v>734</v>
      </c>
      <c r="O790" s="24">
        <v>734</v>
      </c>
      <c r="P790" s="289"/>
      <c r="Q790" s="176"/>
      <c r="R790" s="242"/>
      <c r="S790" s="384">
        <f>14.5*J789*1.1*(1+0.1+0.9)*0.9</f>
        <v>5185.0260000000007</v>
      </c>
      <c r="T790" s="243"/>
    </row>
    <row r="791" spans="1:20" s="269" customFormat="1" ht="10.199999999999999" x14ac:dyDescent="0.2">
      <c r="A791" s="58">
        <f>A785+1</f>
        <v>124</v>
      </c>
      <c r="B791" s="95">
        <v>44033</v>
      </c>
      <c r="C791" s="95">
        <v>45127</v>
      </c>
      <c r="D791" s="58" t="s">
        <v>101</v>
      </c>
      <c r="E791" s="58" t="s">
        <v>300</v>
      </c>
      <c r="F791" s="58" t="s">
        <v>299</v>
      </c>
      <c r="G791" s="58" t="s">
        <v>59</v>
      </c>
      <c r="H791" s="58" t="s">
        <v>420</v>
      </c>
      <c r="I791" s="58" t="s">
        <v>102</v>
      </c>
      <c r="J791" s="58">
        <v>12.5</v>
      </c>
      <c r="K791" s="111">
        <f>S791*6</f>
        <v>957.00000000000023</v>
      </c>
      <c r="L791" s="59">
        <f>S791*3</f>
        <v>478.50000000000011</v>
      </c>
      <c r="M791" s="49" t="s">
        <v>10</v>
      </c>
      <c r="N791" s="111" t="s">
        <v>489</v>
      </c>
      <c r="O791" s="100"/>
      <c r="P791" s="58" t="s">
        <v>59</v>
      </c>
      <c r="Q791" s="193"/>
      <c r="R791" s="319"/>
      <c r="S791" s="257">
        <f>14.5*J791*1*(1+0.1+0)*0.8</f>
        <v>159.50000000000003</v>
      </c>
      <c r="T791" s="268"/>
    </row>
    <row r="792" spans="1:20" s="269" customFormat="1" ht="20.399999999999999" x14ac:dyDescent="0.2">
      <c r="A792" s="71"/>
      <c r="B792" s="136"/>
      <c r="C792" s="136"/>
      <c r="D792" s="136"/>
      <c r="E792" s="71"/>
      <c r="F792" s="71"/>
      <c r="G792" s="71"/>
      <c r="H792" s="136"/>
      <c r="I792" s="136"/>
      <c r="J792" s="136"/>
      <c r="K792" s="111"/>
      <c r="L792" s="341"/>
      <c r="M792" s="49" t="s">
        <v>11</v>
      </c>
      <c r="N792" s="100"/>
      <c r="O792" s="100"/>
      <c r="P792" s="92"/>
      <c r="Q792" s="193"/>
      <c r="R792" s="319"/>
      <c r="S792" s="257"/>
      <c r="T792" s="268"/>
    </row>
    <row r="793" spans="1:20" s="269" customFormat="1" ht="10.199999999999999" x14ac:dyDescent="0.2">
      <c r="A793" s="71"/>
      <c r="B793" s="136"/>
      <c r="C793" s="136"/>
      <c r="D793" s="136"/>
      <c r="E793" s="71"/>
      <c r="F793" s="71"/>
      <c r="G793" s="71"/>
      <c r="H793" s="136"/>
      <c r="I793" s="136"/>
      <c r="J793" s="136"/>
      <c r="K793" s="111"/>
      <c r="L793" s="341"/>
      <c r="M793" s="49" t="s">
        <v>12</v>
      </c>
      <c r="N793" s="100"/>
      <c r="O793" s="100"/>
      <c r="P793" s="92"/>
      <c r="Q793" s="193"/>
      <c r="R793" s="319"/>
      <c r="S793" s="257"/>
      <c r="T793" s="268"/>
    </row>
    <row r="794" spans="1:20" s="269" customFormat="1" ht="10.199999999999999" x14ac:dyDescent="0.2">
      <c r="A794" s="71"/>
      <c r="B794" s="136"/>
      <c r="C794" s="136"/>
      <c r="D794" s="136"/>
      <c r="E794" s="136"/>
      <c r="F794" s="71"/>
      <c r="G794" s="71"/>
      <c r="H794" s="136"/>
      <c r="I794" s="136"/>
      <c r="J794" s="136"/>
      <c r="K794" s="111"/>
      <c r="L794" s="341"/>
      <c r="M794" s="49" t="s">
        <v>13</v>
      </c>
      <c r="N794" s="100"/>
      <c r="O794" s="100"/>
      <c r="P794" s="92"/>
      <c r="Q794" s="193"/>
      <c r="R794" s="319"/>
      <c r="S794" s="257"/>
      <c r="T794" s="268"/>
    </row>
    <row r="795" spans="1:20" s="269" customFormat="1" ht="10.199999999999999" x14ac:dyDescent="0.2">
      <c r="A795" s="71"/>
      <c r="B795" s="136"/>
      <c r="C795" s="136"/>
      <c r="D795" s="136"/>
      <c r="E795" s="136"/>
      <c r="F795" s="71"/>
      <c r="G795" s="71"/>
      <c r="H795" s="136"/>
      <c r="I795" s="136"/>
      <c r="J795" s="136"/>
      <c r="K795" s="111"/>
      <c r="L795" s="341"/>
      <c r="M795" s="49" t="s">
        <v>14</v>
      </c>
      <c r="N795" s="100"/>
      <c r="O795" s="100"/>
      <c r="P795" s="92"/>
      <c r="Q795" s="193"/>
      <c r="R795" s="319"/>
      <c r="S795" s="257"/>
      <c r="T795" s="268"/>
    </row>
    <row r="796" spans="1:20" s="269" customFormat="1" ht="10.199999999999999" x14ac:dyDescent="0.2">
      <c r="A796" s="87"/>
      <c r="B796" s="137"/>
      <c r="C796" s="137"/>
      <c r="D796" s="137"/>
      <c r="E796" s="137"/>
      <c r="F796" s="87"/>
      <c r="G796" s="87"/>
      <c r="H796" s="137"/>
      <c r="I796" s="137"/>
      <c r="J796" s="137"/>
      <c r="K796" s="111"/>
      <c r="L796" s="341"/>
      <c r="M796" s="336" t="s">
        <v>533</v>
      </c>
      <c r="N796" s="24">
        <v>382.4</v>
      </c>
      <c r="O796" s="24">
        <v>27.97</v>
      </c>
      <c r="P796" s="78"/>
      <c r="Q796" s="193"/>
      <c r="R796" s="319"/>
      <c r="S796" s="257"/>
      <c r="T796" s="268"/>
    </row>
    <row r="797" spans="1:20" s="269" customFormat="1" ht="10.199999999999999" x14ac:dyDescent="0.2">
      <c r="A797" s="101">
        <f>A791+1</f>
        <v>125</v>
      </c>
      <c r="B797" s="156">
        <v>45049</v>
      </c>
      <c r="C797" s="156">
        <v>46057</v>
      </c>
      <c r="D797" s="57" t="s">
        <v>634</v>
      </c>
      <c r="E797" s="101" t="s">
        <v>300</v>
      </c>
      <c r="F797" s="101" t="s">
        <v>299</v>
      </c>
      <c r="G797" s="57" t="s">
        <v>103</v>
      </c>
      <c r="H797" s="57" t="s">
        <v>421</v>
      </c>
      <c r="I797" s="57" t="s">
        <v>104</v>
      </c>
      <c r="J797" s="177">
        <v>201.5</v>
      </c>
      <c r="K797" s="72">
        <f>S797*6</f>
        <v>33658.559999999998</v>
      </c>
      <c r="L797" s="72">
        <f>S797*3</f>
        <v>16829.28</v>
      </c>
      <c r="M797" s="17" t="s">
        <v>10</v>
      </c>
      <c r="N797" s="72" t="s">
        <v>457</v>
      </c>
      <c r="O797" s="73"/>
      <c r="P797" s="57" t="s">
        <v>103</v>
      </c>
      <c r="Q797" s="320"/>
      <c r="R797" s="319"/>
      <c r="S797" s="257">
        <f>14.5*J797*1.2*(1+0.1+0.9)*0.8</f>
        <v>5609.76</v>
      </c>
      <c r="T797" s="268"/>
    </row>
    <row r="798" spans="1:20" s="269" customFormat="1" ht="20.399999999999999" x14ac:dyDescent="0.2">
      <c r="A798" s="102"/>
      <c r="B798" s="323"/>
      <c r="C798" s="323"/>
      <c r="D798" s="323"/>
      <c r="E798" s="102"/>
      <c r="F798" s="106"/>
      <c r="G798" s="323"/>
      <c r="H798" s="323"/>
      <c r="I798" s="323"/>
      <c r="J798" s="323"/>
      <c r="K798" s="332"/>
      <c r="L798" s="332"/>
      <c r="M798" s="17" t="s">
        <v>11</v>
      </c>
      <c r="N798" s="74"/>
      <c r="O798" s="75"/>
      <c r="P798" s="323"/>
      <c r="Q798" s="378"/>
      <c r="R798" s="319"/>
      <c r="S798" s="257"/>
      <c r="T798" s="268"/>
    </row>
    <row r="799" spans="1:20" s="269" customFormat="1" ht="10.199999999999999" x14ac:dyDescent="0.2">
      <c r="A799" s="102"/>
      <c r="B799" s="323"/>
      <c r="C799" s="323"/>
      <c r="D799" s="323"/>
      <c r="E799" s="102"/>
      <c r="F799" s="106"/>
      <c r="G799" s="323"/>
      <c r="H799" s="323"/>
      <c r="I799" s="323"/>
      <c r="J799" s="323"/>
      <c r="K799" s="332"/>
      <c r="L799" s="332"/>
      <c r="M799" s="17" t="s">
        <v>12</v>
      </c>
      <c r="N799" s="74"/>
      <c r="O799" s="75"/>
      <c r="P799" s="323"/>
      <c r="Q799" s="378"/>
      <c r="R799" s="319"/>
      <c r="S799" s="257"/>
      <c r="T799" s="268"/>
    </row>
    <row r="800" spans="1:20" s="269" customFormat="1" ht="10.199999999999999" x14ac:dyDescent="0.2">
      <c r="A800" s="102"/>
      <c r="B800" s="323"/>
      <c r="C800" s="323"/>
      <c r="D800" s="323"/>
      <c r="E800" s="323"/>
      <c r="F800" s="106"/>
      <c r="G800" s="323"/>
      <c r="H800" s="323"/>
      <c r="I800" s="323"/>
      <c r="J800" s="323"/>
      <c r="K800" s="332"/>
      <c r="L800" s="332"/>
      <c r="M800" s="17" t="s">
        <v>13</v>
      </c>
      <c r="N800" s="74"/>
      <c r="O800" s="75"/>
      <c r="P800" s="323"/>
      <c r="Q800" s="378"/>
      <c r="R800" s="319"/>
      <c r="S800" s="257"/>
      <c r="T800" s="268"/>
    </row>
    <row r="801" spans="1:20" s="269" customFormat="1" ht="10.199999999999999" x14ac:dyDescent="0.2">
      <c r="A801" s="102"/>
      <c r="B801" s="323"/>
      <c r="C801" s="323"/>
      <c r="D801" s="323"/>
      <c r="E801" s="323"/>
      <c r="F801" s="106"/>
      <c r="G801" s="323"/>
      <c r="H801" s="323"/>
      <c r="I801" s="323"/>
      <c r="J801" s="323"/>
      <c r="K801" s="332"/>
      <c r="L801" s="332"/>
      <c r="M801" s="17" t="s">
        <v>14</v>
      </c>
      <c r="N801" s="74"/>
      <c r="O801" s="75"/>
      <c r="P801" s="323"/>
      <c r="Q801" s="378"/>
      <c r="R801" s="319"/>
      <c r="S801" s="257"/>
      <c r="T801" s="268"/>
    </row>
    <row r="802" spans="1:20" s="244" customFormat="1" x14ac:dyDescent="0.3">
      <c r="A802" s="187"/>
      <c r="B802" s="324"/>
      <c r="C802" s="324"/>
      <c r="D802" s="324"/>
      <c r="E802" s="324"/>
      <c r="F802" s="107"/>
      <c r="G802" s="324"/>
      <c r="H802" s="324"/>
      <c r="I802" s="324"/>
      <c r="J802" s="324"/>
      <c r="K802" s="332"/>
      <c r="L802" s="332"/>
      <c r="M802" s="381" t="s">
        <v>533</v>
      </c>
      <c r="N802" s="20">
        <v>386.9</v>
      </c>
      <c r="O802" s="20">
        <v>386.9</v>
      </c>
      <c r="P802" s="324"/>
      <c r="Q802" s="378"/>
      <c r="R802" s="242"/>
      <c r="S802" s="257"/>
      <c r="T802" s="243"/>
    </row>
    <row r="803" spans="1:20" s="269" customFormat="1" ht="10.199999999999999" x14ac:dyDescent="0.2">
      <c r="A803" s="58">
        <f>A797+1</f>
        <v>126</v>
      </c>
      <c r="B803" s="95" t="s">
        <v>642</v>
      </c>
      <c r="C803" s="95">
        <v>45291</v>
      </c>
      <c r="D803" s="58" t="s">
        <v>643</v>
      </c>
      <c r="E803" s="58" t="s">
        <v>300</v>
      </c>
      <c r="F803" s="58" t="s">
        <v>299</v>
      </c>
      <c r="G803" s="58" t="s">
        <v>105</v>
      </c>
      <c r="H803" s="58" t="s">
        <v>644</v>
      </c>
      <c r="I803" s="58" t="s">
        <v>645</v>
      </c>
      <c r="J803" s="58">
        <v>629.4</v>
      </c>
      <c r="K803" s="111">
        <f>S803*6</f>
        <v>99385.407000000007</v>
      </c>
      <c r="L803" s="59">
        <f>S803*3</f>
        <v>49692.703500000003</v>
      </c>
      <c r="M803" s="49" t="s">
        <v>10</v>
      </c>
      <c r="N803" s="59" t="s">
        <v>457</v>
      </c>
      <c r="O803" s="82"/>
      <c r="P803" s="58" t="s">
        <v>105</v>
      </c>
      <c r="Q803" s="193"/>
      <c r="R803" s="319"/>
      <c r="S803" s="257">
        <f>14.5*J803*1.1*(1+1.2+1.1)*0.5</f>
        <v>16564.234500000002</v>
      </c>
      <c r="T803" s="268"/>
    </row>
    <row r="804" spans="1:20" s="269" customFormat="1" ht="20.399999999999999" x14ac:dyDescent="0.2">
      <c r="A804" s="71"/>
      <c r="B804" s="136"/>
      <c r="C804" s="136"/>
      <c r="D804" s="136"/>
      <c r="E804" s="71"/>
      <c r="F804" s="71"/>
      <c r="G804" s="136"/>
      <c r="H804" s="136"/>
      <c r="I804" s="136"/>
      <c r="J804" s="136"/>
      <c r="K804" s="111"/>
      <c r="L804" s="341"/>
      <c r="M804" s="49" t="s">
        <v>11</v>
      </c>
      <c r="N804" s="83"/>
      <c r="O804" s="84"/>
      <c r="P804" s="136"/>
      <c r="Q804" s="193"/>
      <c r="R804" s="319"/>
      <c r="S804" s="257"/>
      <c r="T804" s="268"/>
    </row>
    <row r="805" spans="1:20" s="269" customFormat="1" ht="10.199999999999999" x14ac:dyDescent="0.2">
      <c r="A805" s="71"/>
      <c r="B805" s="136"/>
      <c r="C805" s="136"/>
      <c r="D805" s="136"/>
      <c r="E805" s="71"/>
      <c r="F805" s="71"/>
      <c r="G805" s="136"/>
      <c r="H805" s="136"/>
      <c r="I805" s="136"/>
      <c r="J805" s="136"/>
      <c r="K805" s="111"/>
      <c r="L805" s="341"/>
      <c r="M805" s="49" t="s">
        <v>12</v>
      </c>
      <c r="N805" s="83"/>
      <c r="O805" s="84"/>
      <c r="P805" s="136"/>
      <c r="Q805" s="193"/>
      <c r="R805" s="319"/>
      <c r="S805" s="257"/>
      <c r="T805" s="268"/>
    </row>
    <row r="806" spans="1:20" s="269" customFormat="1" ht="10.199999999999999" x14ac:dyDescent="0.2">
      <c r="A806" s="71"/>
      <c r="B806" s="136"/>
      <c r="C806" s="136"/>
      <c r="D806" s="136"/>
      <c r="E806" s="136"/>
      <c r="F806" s="71"/>
      <c r="G806" s="136"/>
      <c r="H806" s="136"/>
      <c r="I806" s="136"/>
      <c r="J806" s="136"/>
      <c r="K806" s="111"/>
      <c r="L806" s="341"/>
      <c r="M806" s="49" t="s">
        <v>13</v>
      </c>
      <c r="N806" s="83"/>
      <c r="O806" s="84"/>
      <c r="P806" s="136"/>
      <c r="Q806" s="193"/>
      <c r="R806" s="319"/>
      <c r="S806" s="257"/>
      <c r="T806" s="268"/>
    </row>
    <row r="807" spans="1:20" s="269" customFormat="1" ht="10.199999999999999" x14ac:dyDescent="0.2">
      <c r="A807" s="71"/>
      <c r="B807" s="136"/>
      <c r="C807" s="136"/>
      <c r="D807" s="136"/>
      <c r="E807" s="136"/>
      <c r="F807" s="71"/>
      <c r="G807" s="136"/>
      <c r="H807" s="136"/>
      <c r="I807" s="136"/>
      <c r="J807" s="136"/>
      <c r="K807" s="111"/>
      <c r="L807" s="341"/>
      <c r="M807" s="49" t="s">
        <v>14</v>
      </c>
      <c r="N807" s="83"/>
      <c r="O807" s="84"/>
      <c r="P807" s="136"/>
      <c r="Q807" s="193"/>
      <c r="R807" s="319"/>
      <c r="S807" s="257"/>
      <c r="T807" s="268"/>
    </row>
    <row r="808" spans="1:20" s="269" customFormat="1" ht="10.199999999999999" x14ac:dyDescent="0.2">
      <c r="A808" s="87"/>
      <c r="B808" s="137"/>
      <c r="C808" s="137"/>
      <c r="D808" s="137"/>
      <c r="E808" s="137"/>
      <c r="F808" s="87"/>
      <c r="G808" s="137"/>
      <c r="H808" s="137"/>
      <c r="I808" s="137"/>
      <c r="J808" s="137"/>
      <c r="K808" s="111"/>
      <c r="L808" s="341"/>
      <c r="M808" s="336" t="s">
        <v>533</v>
      </c>
      <c r="N808" s="24">
        <v>31342.3</v>
      </c>
      <c r="O808" s="24">
        <v>2300.4299999999998</v>
      </c>
      <c r="P808" s="137"/>
      <c r="Q808" s="193"/>
      <c r="R808" s="319"/>
      <c r="S808" s="257"/>
      <c r="T808" s="268"/>
    </row>
    <row r="809" spans="1:20" s="269" customFormat="1" ht="10.199999999999999" x14ac:dyDescent="0.2">
      <c r="A809" s="58">
        <f>A803+1</f>
        <v>127</v>
      </c>
      <c r="B809" s="70">
        <v>45001</v>
      </c>
      <c r="C809" s="70">
        <v>45260</v>
      </c>
      <c r="D809" s="110" t="s">
        <v>589</v>
      </c>
      <c r="E809" s="58" t="s">
        <v>300</v>
      </c>
      <c r="F809" s="58" t="s">
        <v>299</v>
      </c>
      <c r="G809" s="110" t="s">
        <v>120</v>
      </c>
      <c r="H809" s="110" t="s">
        <v>422</v>
      </c>
      <c r="I809" s="110" t="s">
        <v>121</v>
      </c>
      <c r="J809" s="123">
        <v>971.7</v>
      </c>
      <c r="K809" s="111">
        <f>S809*6</f>
        <v>29996.686500000011</v>
      </c>
      <c r="L809" s="59">
        <f>S809*3</f>
        <v>14998.343250000005</v>
      </c>
      <c r="M809" s="49" t="s">
        <v>10</v>
      </c>
      <c r="N809" s="59" t="s">
        <v>457</v>
      </c>
      <c r="O809" s="82"/>
      <c r="P809" s="110" t="s">
        <v>120</v>
      </c>
      <c r="Q809" s="193"/>
      <c r="R809" s="319"/>
      <c r="S809" s="257">
        <f>(14.5*906.1*1.1*(1+1.2+1.1)*0.1)+(14.5*65.6*1.1*(1+0.1+1.1)*0.1)</f>
        <v>4999.4477500000021</v>
      </c>
      <c r="T809" s="268"/>
    </row>
    <row r="810" spans="1:20" s="269" customFormat="1" ht="20.399999999999999" x14ac:dyDescent="0.2">
      <c r="A810" s="71"/>
      <c r="B810" s="136"/>
      <c r="C810" s="136"/>
      <c r="D810" s="136"/>
      <c r="E810" s="71"/>
      <c r="F810" s="71"/>
      <c r="G810" s="136"/>
      <c r="H810" s="136"/>
      <c r="I810" s="136"/>
      <c r="J810" s="136"/>
      <c r="K810" s="111"/>
      <c r="L810" s="341"/>
      <c r="M810" s="49" t="s">
        <v>11</v>
      </c>
      <c r="N810" s="83"/>
      <c r="O810" s="84"/>
      <c r="P810" s="136"/>
      <c r="Q810" s="193"/>
      <c r="R810" s="319"/>
      <c r="S810" s="257"/>
      <c r="T810" s="268"/>
    </row>
    <row r="811" spans="1:20" s="269" customFormat="1" ht="10.199999999999999" x14ac:dyDescent="0.2">
      <c r="A811" s="71"/>
      <c r="B811" s="136"/>
      <c r="C811" s="136"/>
      <c r="D811" s="136"/>
      <c r="E811" s="71"/>
      <c r="F811" s="71"/>
      <c r="G811" s="136"/>
      <c r="H811" s="136"/>
      <c r="I811" s="136"/>
      <c r="J811" s="136"/>
      <c r="K811" s="111"/>
      <c r="L811" s="341"/>
      <c r="M811" s="49" t="s">
        <v>12</v>
      </c>
      <c r="N811" s="83"/>
      <c r="O811" s="84"/>
      <c r="P811" s="136"/>
      <c r="Q811" s="193"/>
      <c r="R811" s="319"/>
      <c r="S811" s="257"/>
      <c r="T811" s="268"/>
    </row>
    <row r="812" spans="1:20" s="269" customFormat="1" ht="10.199999999999999" x14ac:dyDescent="0.2">
      <c r="A812" s="71"/>
      <c r="B812" s="136"/>
      <c r="C812" s="136"/>
      <c r="D812" s="136"/>
      <c r="E812" s="136"/>
      <c r="F812" s="71"/>
      <c r="G812" s="136"/>
      <c r="H812" s="136"/>
      <c r="I812" s="136"/>
      <c r="J812" s="136"/>
      <c r="K812" s="111"/>
      <c r="L812" s="341"/>
      <c r="M812" s="49" t="s">
        <v>13</v>
      </c>
      <c r="N812" s="83"/>
      <c r="O812" s="84"/>
      <c r="P812" s="136"/>
      <c r="Q812" s="193"/>
      <c r="R812" s="319"/>
      <c r="S812" s="257"/>
      <c r="T812" s="268"/>
    </row>
    <row r="813" spans="1:20" s="269" customFormat="1" ht="10.199999999999999" x14ac:dyDescent="0.2">
      <c r="A813" s="71"/>
      <c r="B813" s="136"/>
      <c r="C813" s="136"/>
      <c r="D813" s="136"/>
      <c r="E813" s="136"/>
      <c r="F813" s="71"/>
      <c r="G813" s="136"/>
      <c r="H813" s="136"/>
      <c r="I813" s="136"/>
      <c r="J813" s="136"/>
      <c r="K813" s="111"/>
      <c r="L813" s="341"/>
      <c r="M813" s="49" t="s">
        <v>14</v>
      </c>
      <c r="N813" s="83"/>
      <c r="O813" s="84"/>
      <c r="P813" s="136"/>
      <c r="Q813" s="193"/>
      <c r="R813" s="319"/>
      <c r="S813" s="257"/>
      <c r="T813" s="268"/>
    </row>
    <row r="814" spans="1:20" s="269" customFormat="1" ht="10.199999999999999" x14ac:dyDescent="0.2">
      <c r="A814" s="87"/>
      <c r="B814" s="137"/>
      <c r="C814" s="137"/>
      <c r="D814" s="137"/>
      <c r="E814" s="137"/>
      <c r="F814" s="87"/>
      <c r="G814" s="137"/>
      <c r="H814" s="137"/>
      <c r="I814" s="137"/>
      <c r="J814" s="137"/>
      <c r="K814" s="111"/>
      <c r="L814" s="341"/>
      <c r="M814" s="369" t="s">
        <v>533</v>
      </c>
      <c r="N814" s="33">
        <v>1302.08</v>
      </c>
      <c r="O814" s="33">
        <v>1302.08</v>
      </c>
      <c r="P814" s="137"/>
      <c r="Q814" s="193"/>
      <c r="R814" s="319"/>
      <c r="S814" s="257"/>
      <c r="T814" s="268"/>
    </row>
    <row r="815" spans="1:20" s="269" customFormat="1" ht="10.199999999999999" x14ac:dyDescent="0.2">
      <c r="A815" s="89">
        <f>A809+1</f>
        <v>128</v>
      </c>
      <c r="B815" s="134">
        <v>44497</v>
      </c>
      <c r="C815" s="134">
        <v>45592</v>
      </c>
      <c r="D815" s="89" t="s">
        <v>165</v>
      </c>
      <c r="E815" s="89" t="s">
        <v>300</v>
      </c>
      <c r="F815" s="89" t="s">
        <v>299</v>
      </c>
      <c r="G815" s="89" t="s">
        <v>166</v>
      </c>
      <c r="H815" s="89" t="s">
        <v>423</v>
      </c>
      <c r="I815" s="89" t="s">
        <v>167</v>
      </c>
      <c r="J815" s="89">
        <f>108.8+200.4</f>
        <v>309.2</v>
      </c>
      <c r="K815" s="111">
        <f>S815*6</f>
        <v>8027.6988000000019</v>
      </c>
      <c r="L815" s="111">
        <f>S815*3</f>
        <v>4013.849400000001</v>
      </c>
      <c r="M815" s="49" t="s">
        <v>10</v>
      </c>
      <c r="N815" s="111" t="s">
        <v>457</v>
      </c>
      <c r="O815" s="89"/>
      <c r="P815" s="89" t="s">
        <v>166</v>
      </c>
      <c r="Q815" s="193"/>
      <c r="R815" s="319"/>
      <c r="S815" s="257">
        <f>(14.5*108.8*1.1*(1+0.1+0.9)*0.1)+(14.5*200.4*1.1*(1+1.2+0.9)*0.1)</f>
        <v>1337.9498000000003</v>
      </c>
      <c r="T815" s="268"/>
    </row>
    <row r="816" spans="1:20" s="269" customFormat="1" ht="20.399999999999999" x14ac:dyDescent="0.2">
      <c r="A816" s="89"/>
      <c r="B816" s="193"/>
      <c r="C816" s="193"/>
      <c r="D816" s="193"/>
      <c r="E816" s="89"/>
      <c r="F816" s="89"/>
      <c r="G816" s="193"/>
      <c r="H816" s="193"/>
      <c r="I816" s="193"/>
      <c r="J816" s="193"/>
      <c r="K816" s="111"/>
      <c r="L816" s="111"/>
      <c r="M816" s="49" t="s">
        <v>11</v>
      </c>
      <c r="N816" s="89"/>
      <c r="O816" s="89"/>
      <c r="P816" s="193"/>
      <c r="Q816" s="193"/>
      <c r="R816" s="319"/>
      <c r="S816" s="257"/>
      <c r="T816" s="268"/>
    </row>
    <row r="817" spans="1:20" s="269" customFormat="1" ht="10.199999999999999" x14ac:dyDescent="0.2">
      <c r="A817" s="89"/>
      <c r="B817" s="193"/>
      <c r="C817" s="193"/>
      <c r="D817" s="193"/>
      <c r="E817" s="89"/>
      <c r="F817" s="89"/>
      <c r="G817" s="193"/>
      <c r="H817" s="193"/>
      <c r="I817" s="193"/>
      <c r="J817" s="193"/>
      <c r="K817" s="111"/>
      <c r="L817" s="111"/>
      <c r="M817" s="49" t="s">
        <v>12</v>
      </c>
      <c r="N817" s="89"/>
      <c r="O817" s="89"/>
      <c r="P817" s="193"/>
      <c r="Q817" s="193"/>
      <c r="R817" s="319"/>
      <c r="S817" s="257"/>
      <c r="T817" s="268"/>
    </row>
    <row r="818" spans="1:20" s="269" customFormat="1" ht="10.199999999999999" x14ac:dyDescent="0.2">
      <c r="A818" s="89"/>
      <c r="B818" s="193"/>
      <c r="C818" s="193"/>
      <c r="D818" s="193"/>
      <c r="E818" s="193"/>
      <c r="F818" s="89"/>
      <c r="G818" s="193"/>
      <c r="H818" s="193"/>
      <c r="I818" s="193"/>
      <c r="J818" s="193"/>
      <c r="K818" s="111"/>
      <c r="L818" s="111"/>
      <c r="M818" s="49" t="s">
        <v>13</v>
      </c>
      <c r="N818" s="89"/>
      <c r="O818" s="89"/>
      <c r="P818" s="193"/>
      <c r="Q818" s="193"/>
      <c r="R818" s="319"/>
      <c r="S818" s="257"/>
      <c r="T818" s="268"/>
    </row>
    <row r="819" spans="1:20" s="269" customFormat="1" ht="10.199999999999999" x14ac:dyDescent="0.2">
      <c r="A819" s="89"/>
      <c r="B819" s="193"/>
      <c r="C819" s="193"/>
      <c r="D819" s="193"/>
      <c r="E819" s="193"/>
      <c r="F819" s="89"/>
      <c r="G819" s="193"/>
      <c r="H819" s="193"/>
      <c r="I819" s="193"/>
      <c r="J819" s="193"/>
      <c r="K819" s="111"/>
      <c r="L819" s="111"/>
      <c r="M819" s="49" t="s">
        <v>14</v>
      </c>
      <c r="N819" s="89"/>
      <c r="O819" s="89"/>
      <c r="P819" s="193"/>
      <c r="Q819" s="193"/>
      <c r="R819" s="319"/>
      <c r="S819" s="257"/>
      <c r="T819" s="268"/>
    </row>
    <row r="820" spans="1:20" s="269" customFormat="1" ht="10.199999999999999" x14ac:dyDescent="0.2">
      <c r="A820" s="89"/>
      <c r="B820" s="193"/>
      <c r="C820" s="193"/>
      <c r="D820" s="193"/>
      <c r="E820" s="193"/>
      <c r="F820" s="89"/>
      <c r="G820" s="193"/>
      <c r="H820" s="193"/>
      <c r="I820" s="193"/>
      <c r="J820" s="193"/>
      <c r="K820" s="111"/>
      <c r="L820" s="111"/>
      <c r="M820" s="336" t="s">
        <v>533</v>
      </c>
      <c r="N820" s="24">
        <v>593.66999999999996</v>
      </c>
      <c r="O820" s="24">
        <v>593.66999999999996</v>
      </c>
      <c r="P820" s="193"/>
      <c r="Q820" s="193"/>
      <c r="R820" s="319"/>
      <c r="S820" s="257"/>
      <c r="T820" s="268"/>
    </row>
    <row r="821" spans="1:20" s="269" customFormat="1" ht="10.199999999999999" x14ac:dyDescent="0.2">
      <c r="A821" s="101">
        <f>A815+1</f>
        <v>129</v>
      </c>
      <c r="B821" s="105">
        <v>45016</v>
      </c>
      <c r="C821" s="105">
        <v>45321</v>
      </c>
      <c r="D821" s="189" t="s">
        <v>621</v>
      </c>
      <c r="E821" s="101" t="s">
        <v>399</v>
      </c>
      <c r="F821" s="101" t="s">
        <v>299</v>
      </c>
      <c r="G821" s="190" t="s">
        <v>186</v>
      </c>
      <c r="H821" s="190" t="s">
        <v>622</v>
      </c>
      <c r="I821" s="101" t="s">
        <v>187</v>
      </c>
      <c r="J821" s="112">
        <v>31.1</v>
      </c>
      <c r="K821" s="266">
        <f>S821*6</f>
        <v>4107.2525999999998</v>
      </c>
      <c r="L821" s="72">
        <f>S821*3</f>
        <v>2053.6262999999999</v>
      </c>
      <c r="M821" s="16" t="s">
        <v>10</v>
      </c>
      <c r="N821" s="72" t="s">
        <v>457</v>
      </c>
      <c r="O821" s="73"/>
      <c r="P821" s="190" t="s">
        <v>186</v>
      </c>
      <c r="Q821" s="320"/>
      <c r="R821" s="319"/>
      <c r="S821" s="257">
        <f>14.5*J821*1.1*(1+1+0.3)*0.6</f>
        <v>684.5421</v>
      </c>
      <c r="T821" s="268"/>
    </row>
    <row r="822" spans="1:20" s="269" customFormat="1" ht="20.399999999999999" x14ac:dyDescent="0.2">
      <c r="A822" s="102"/>
      <c r="B822" s="323"/>
      <c r="C822" s="323"/>
      <c r="D822" s="323"/>
      <c r="E822" s="102"/>
      <c r="F822" s="106"/>
      <c r="G822" s="323"/>
      <c r="H822" s="323"/>
      <c r="I822" s="323"/>
      <c r="J822" s="323"/>
      <c r="K822" s="204"/>
      <c r="L822" s="332"/>
      <c r="M822" s="17" t="s">
        <v>11</v>
      </c>
      <c r="N822" s="74"/>
      <c r="O822" s="75"/>
      <c r="P822" s="323"/>
      <c r="Q822" s="378"/>
      <c r="R822" s="319"/>
      <c r="S822" s="257"/>
      <c r="T822" s="268"/>
    </row>
    <row r="823" spans="1:20" s="269" customFormat="1" ht="10.199999999999999" x14ac:dyDescent="0.2">
      <c r="A823" s="102"/>
      <c r="B823" s="323"/>
      <c r="C823" s="323"/>
      <c r="D823" s="323"/>
      <c r="E823" s="323"/>
      <c r="F823" s="106"/>
      <c r="G823" s="323"/>
      <c r="H823" s="323"/>
      <c r="I823" s="323"/>
      <c r="J823" s="323"/>
      <c r="K823" s="204"/>
      <c r="L823" s="332"/>
      <c r="M823" s="17" t="s">
        <v>12</v>
      </c>
      <c r="N823" s="74"/>
      <c r="O823" s="75"/>
      <c r="P823" s="323"/>
      <c r="Q823" s="378"/>
      <c r="R823" s="319"/>
      <c r="S823" s="257"/>
      <c r="T823" s="268"/>
    </row>
    <row r="824" spans="1:20" s="269" customFormat="1" ht="10.199999999999999" x14ac:dyDescent="0.2">
      <c r="A824" s="102"/>
      <c r="B824" s="323"/>
      <c r="C824" s="323"/>
      <c r="D824" s="323"/>
      <c r="E824" s="323"/>
      <c r="F824" s="106"/>
      <c r="G824" s="323"/>
      <c r="H824" s="323"/>
      <c r="I824" s="323"/>
      <c r="J824" s="323"/>
      <c r="K824" s="204"/>
      <c r="L824" s="332"/>
      <c r="M824" s="17" t="s">
        <v>13</v>
      </c>
      <c r="N824" s="74"/>
      <c r="O824" s="75"/>
      <c r="P824" s="323"/>
      <c r="Q824" s="378"/>
      <c r="R824" s="319"/>
      <c r="S824" s="257"/>
      <c r="T824" s="268"/>
    </row>
    <row r="825" spans="1:20" s="269" customFormat="1" ht="10.199999999999999" x14ac:dyDescent="0.2">
      <c r="A825" s="102"/>
      <c r="B825" s="323"/>
      <c r="C825" s="323"/>
      <c r="D825" s="323"/>
      <c r="E825" s="323"/>
      <c r="F825" s="106"/>
      <c r="G825" s="323"/>
      <c r="H825" s="323"/>
      <c r="I825" s="323"/>
      <c r="J825" s="323"/>
      <c r="K825" s="204"/>
      <c r="L825" s="332"/>
      <c r="M825" s="17" t="s">
        <v>14</v>
      </c>
      <c r="N825" s="74"/>
      <c r="O825" s="75"/>
      <c r="P825" s="323"/>
      <c r="Q825" s="378"/>
      <c r="R825" s="319"/>
      <c r="S825" s="257"/>
      <c r="T825" s="268"/>
    </row>
    <row r="826" spans="1:20" s="244" customFormat="1" x14ac:dyDescent="0.3">
      <c r="A826" s="187"/>
      <c r="B826" s="324"/>
      <c r="C826" s="324"/>
      <c r="D826" s="324"/>
      <c r="E826" s="324"/>
      <c r="F826" s="107"/>
      <c r="G826" s="324"/>
      <c r="H826" s="324"/>
      <c r="I826" s="324"/>
      <c r="J826" s="324"/>
      <c r="K826" s="204"/>
      <c r="L826" s="332"/>
      <c r="M826" s="17" t="s">
        <v>533</v>
      </c>
      <c r="N826" s="224" t="s">
        <v>485</v>
      </c>
      <c r="O826" s="215"/>
      <c r="P826" s="324"/>
      <c r="Q826" s="378"/>
      <c r="R826" s="242"/>
      <c r="S826" s="257"/>
      <c r="T826" s="243"/>
    </row>
    <row r="827" spans="1:20" s="269" customFormat="1" ht="10.199999999999999" x14ac:dyDescent="0.2">
      <c r="A827" s="58">
        <f>A821+1</f>
        <v>130</v>
      </c>
      <c r="B827" s="95">
        <v>44523</v>
      </c>
      <c r="C827" s="95">
        <v>46348</v>
      </c>
      <c r="D827" s="58" t="s">
        <v>253</v>
      </c>
      <c r="E827" s="58" t="s">
        <v>403</v>
      </c>
      <c r="F827" s="58" t="s">
        <v>299</v>
      </c>
      <c r="G827" s="58" t="s">
        <v>59</v>
      </c>
      <c r="H827" s="58" t="s">
        <v>424</v>
      </c>
      <c r="I827" s="58" t="s">
        <v>254</v>
      </c>
      <c r="J827" s="58">
        <v>9.8000000000000007</v>
      </c>
      <c r="K827" s="111">
        <f>S827*6</f>
        <v>1125.4320000000002</v>
      </c>
      <c r="L827" s="111">
        <f>S827*3</f>
        <v>562.71600000000012</v>
      </c>
      <c r="M827" s="49" t="s">
        <v>10</v>
      </c>
      <c r="N827" s="59" t="s">
        <v>489</v>
      </c>
      <c r="O827" s="385"/>
      <c r="P827" s="386"/>
      <c r="Q827" s="193"/>
      <c r="R827" s="319"/>
      <c r="S827" s="257">
        <f>14.5*J827*1*(1+1.2+0)*0.6</f>
        <v>187.57200000000003</v>
      </c>
      <c r="T827" s="268"/>
    </row>
    <row r="828" spans="1:20" s="269" customFormat="1" ht="20.399999999999999" x14ac:dyDescent="0.2">
      <c r="A828" s="71"/>
      <c r="B828" s="92"/>
      <c r="C828" s="293"/>
      <c r="D828" s="293"/>
      <c r="E828" s="71"/>
      <c r="F828" s="92"/>
      <c r="G828" s="293"/>
      <c r="H828" s="293"/>
      <c r="I828" s="293"/>
      <c r="J828" s="293"/>
      <c r="K828" s="175"/>
      <c r="L828" s="175"/>
      <c r="M828" s="49" t="s">
        <v>11</v>
      </c>
      <c r="N828" s="366"/>
      <c r="O828" s="387"/>
      <c r="P828" s="388"/>
      <c r="Q828" s="176"/>
      <c r="R828" s="319"/>
      <c r="S828" s="257"/>
      <c r="T828" s="268"/>
    </row>
    <row r="829" spans="1:20" s="269" customFormat="1" ht="10.199999999999999" x14ac:dyDescent="0.2">
      <c r="A829" s="71"/>
      <c r="B829" s="92"/>
      <c r="C829" s="293"/>
      <c r="D829" s="293"/>
      <c r="E829" s="293"/>
      <c r="F829" s="92"/>
      <c r="G829" s="293"/>
      <c r="H829" s="293"/>
      <c r="I829" s="293"/>
      <c r="J829" s="293"/>
      <c r="K829" s="175"/>
      <c r="L829" s="175"/>
      <c r="M829" s="49" t="s">
        <v>12</v>
      </c>
      <c r="N829" s="366"/>
      <c r="O829" s="387"/>
      <c r="P829" s="388"/>
      <c r="Q829" s="176"/>
      <c r="R829" s="319"/>
      <c r="S829" s="257"/>
      <c r="T829" s="268"/>
    </row>
    <row r="830" spans="1:20" s="269" customFormat="1" ht="10.199999999999999" x14ac:dyDescent="0.2">
      <c r="A830" s="71"/>
      <c r="B830" s="92"/>
      <c r="C830" s="293"/>
      <c r="D830" s="293"/>
      <c r="E830" s="293"/>
      <c r="F830" s="92"/>
      <c r="G830" s="293"/>
      <c r="H830" s="293"/>
      <c r="I830" s="293"/>
      <c r="J830" s="293"/>
      <c r="K830" s="175"/>
      <c r="L830" s="175"/>
      <c r="M830" s="49" t="s">
        <v>13</v>
      </c>
      <c r="N830" s="366"/>
      <c r="O830" s="387"/>
      <c r="P830" s="388"/>
      <c r="Q830" s="176"/>
      <c r="R830" s="319"/>
      <c r="S830" s="257"/>
      <c r="T830" s="268"/>
    </row>
    <row r="831" spans="1:20" s="269" customFormat="1" ht="10.199999999999999" x14ac:dyDescent="0.2">
      <c r="A831" s="71"/>
      <c r="B831" s="92"/>
      <c r="C831" s="293"/>
      <c r="D831" s="293"/>
      <c r="E831" s="293"/>
      <c r="F831" s="92"/>
      <c r="G831" s="293"/>
      <c r="H831" s="293"/>
      <c r="I831" s="293"/>
      <c r="J831" s="293"/>
      <c r="K831" s="175"/>
      <c r="L831" s="175"/>
      <c r="M831" s="49" t="s">
        <v>14</v>
      </c>
      <c r="N831" s="366"/>
      <c r="O831" s="387"/>
      <c r="P831" s="388"/>
      <c r="Q831" s="176"/>
      <c r="R831" s="319"/>
      <c r="S831" s="257"/>
      <c r="T831" s="268"/>
    </row>
    <row r="832" spans="1:20" s="244" customFormat="1" x14ac:dyDescent="0.3">
      <c r="A832" s="87"/>
      <c r="B832" s="78"/>
      <c r="C832" s="289"/>
      <c r="D832" s="289"/>
      <c r="E832" s="289"/>
      <c r="F832" s="78"/>
      <c r="G832" s="289"/>
      <c r="H832" s="289"/>
      <c r="I832" s="289"/>
      <c r="J832" s="289"/>
      <c r="K832" s="175"/>
      <c r="L832" s="175"/>
      <c r="M832" s="49" t="s">
        <v>533</v>
      </c>
      <c r="N832" s="111" t="s">
        <v>485</v>
      </c>
      <c r="O832" s="193"/>
      <c r="P832" s="193"/>
      <c r="Q832" s="176"/>
      <c r="R832" s="242"/>
      <c r="S832" s="257"/>
      <c r="T832" s="243"/>
    </row>
    <row r="833" spans="1:20" s="269" customFormat="1" ht="10.199999999999999" x14ac:dyDescent="0.2">
      <c r="A833" s="297"/>
      <c r="B833" s="195" t="s">
        <v>460</v>
      </c>
      <c r="C833" s="196"/>
      <c r="D833" s="196"/>
      <c r="E833" s="196"/>
      <c r="F833" s="196"/>
      <c r="G833" s="196"/>
      <c r="H833" s="196"/>
      <c r="I833" s="197"/>
      <c r="J833" s="67">
        <f>SUM(J725:J832)</f>
        <v>3716.64</v>
      </c>
      <c r="K833" s="67">
        <f>SUM(K725:K832)</f>
        <v>412243.59617999999</v>
      </c>
      <c r="L833" s="67">
        <f>SUM(L725:L832)</f>
        <v>206121.79809</v>
      </c>
      <c r="M833" s="8" t="s">
        <v>22</v>
      </c>
      <c r="N833" s="389">
        <f>SUM(N834:N839)</f>
        <v>44220.609999999993</v>
      </c>
      <c r="O833" s="389">
        <f>SUM(O834:O839)</f>
        <v>8175.73</v>
      </c>
      <c r="P833" s="135"/>
      <c r="Q833" s="135"/>
      <c r="R833" s="319"/>
      <c r="S833" s="268"/>
      <c r="T833" s="268"/>
    </row>
    <row r="834" spans="1:20" s="269" customFormat="1" ht="10.199999999999999" x14ac:dyDescent="0.2">
      <c r="A834" s="374"/>
      <c r="B834" s="198"/>
      <c r="C834" s="199"/>
      <c r="D834" s="199"/>
      <c r="E834" s="199"/>
      <c r="F834" s="199"/>
      <c r="G834" s="199"/>
      <c r="H834" s="199"/>
      <c r="I834" s="200"/>
      <c r="J834" s="98"/>
      <c r="K834" s="98"/>
      <c r="L834" s="98"/>
      <c r="M834" s="10" t="s">
        <v>10</v>
      </c>
      <c r="N834" s="390">
        <f t="shared" ref="N834:O836" si="0">N755</f>
        <v>167.81</v>
      </c>
      <c r="O834" s="390">
        <f t="shared" si="0"/>
        <v>167.81</v>
      </c>
      <c r="P834" s="293"/>
      <c r="Q834" s="293"/>
      <c r="R834" s="319"/>
      <c r="S834" s="268"/>
      <c r="T834" s="268"/>
    </row>
    <row r="835" spans="1:20" s="269" customFormat="1" ht="20.399999999999999" x14ac:dyDescent="0.2">
      <c r="A835" s="374"/>
      <c r="B835" s="198"/>
      <c r="C835" s="199"/>
      <c r="D835" s="199"/>
      <c r="E835" s="199"/>
      <c r="F835" s="199"/>
      <c r="G835" s="199"/>
      <c r="H835" s="199"/>
      <c r="I835" s="200"/>
      <c r="J835" s="98"/>
      <c r="K835" s="98"/>
      <c r="L835" s="98"/>
      <c r="M835" s="10" t="s">
        <v>11</v>
      </c>
      <c r="N835" s="390">
        <f t="shared" si="0"/>
        <v>102.03</v>
      </c>
      <c r="O835" s="390">
        <f t="shared" si="0"/>
        <v>102.03</v>
      </c>
      <c r="P835" s="293"/>
      <c r="Q835" s="293"/>
      <c r="R835" s="319"/>
      <c r="S835" s="268"/>
      <c r="T835" s="268"/>
    </row>
    <row r="836" spans="1:20" s="269" customFormat="1" ht="10.199999999999999" x14ac:dyDescent="0.2">
      <c r="A836" s="374"/>
      <c r="B836" s="198"/>
      <c r="C836" s="199"/>
      <c r="D836" s="199"/>
      <c r="E836" s="199"/>
      <c r="F836" s="199"/>
      <c r="G836" s="199"/>
      <c r="H836" s="199"/>
      <c r="I836" s="200"/>
      <c r="J836" s="98"/>
      <c r="K836" s="98"/>
      <c r="L836" s="98"/>
      <c r="M836" s="10" t="s">
        <v>12</v>
      </c>
      <c r="N836" s="390">
        <f t="shared" si="0"/>
        <v>0</v>
      </c>
      <c r="O836" s="390">
        <f t="shared" si="0"/>
        <v>0</v>
      </c>
      <c r="P836" s="293"/>
      <c r="Q836" s="293"/>
      <c r="R836" s="319"/>
      <c r="S836" s="268"/>
      <c r="T836" s="268"/>
    </row>
    <row r="837" spans="1:20" s="269" customFormat="1" ht="10.199999999999999" x14ac:dyDescent="0.2">
      <c r="A837" s="374"/>
      <c r="B837" s="198"/>
      <c r="C837" s="199"/>
      <c r="D837" s="199"/>
      <c r="E837" s="199"/>
      <c r="F837" s="199"/>
      <c r="G837" s="199"/>
      <c r="H837" s="199"/>
      <c r="I837" s="200"/>
      <c r="J837" s="98"/>
      <c r="K837" s="98"/>
      <c r="L837" s="98"/>
      <c r="M837" s="10" t="s">
        <v>13</v>
      </c>
      <c r="N837" s="390">
        <f>N758+N770</f>
        <v>680.62</v>
      </c>
      <c r="O837" s="390">
        <f>O758+O770</f>
        <v>680.62</v>
      </c>
      <c r="P837" s="293"/>
      <c r="Q837" s="293"/>
      <c r="R837" s="319"/>
      <c r="S837" s="268"/>
      <c r="T837" s="268"/>
    </row>
    <row r="838" spans="1:20" s="269" customFormat="1" ht="10.199999999999999" x14ac:dyDescent="0.2">
      <c r="A838" s="374"/>
      <c r="B838" s="198"/>
      <c r="C838" s="199"/>
      <c r="D838" s="199"/>
      <c r="E838" s="199"/>
      <c r="F838" s="199"/>
      <c r="G838" s="199"/>
      <c r="H838" s="199"/>
      <c r="I838" s="200"/>
      <c r="J838" s="98"/>
      <c r="K838" s="98"/>
      <c r="L838" s="98"/>
      <c r="M838" s="5" t="s">
        <v>14</v>
      </c>
      <c r="N838" s="391">
        <f>N759</f>
        <v>0</v>
      </c>
      <c r="O838" s="391">
        <f>O759</f>
        <v>0</v>
      </c>
      <c r="P838" s="293"/>
      <c r="Q838" s="293"/>
      <c r="R838" s="319"/>
      <c r="S838" s="268"/>
      <c r="T838" s="268"/>
    </row>
    <row r="839" spans="1:20" s="269" customFormat="1" ht="10.199999999999999" x14ac:dyDescent="0.2">
      <c r="A839" s="374"/>
      <c r="B839" s="201"/>
      <c r="C839" s="202"/>
      <c r="D839" s="202"/>
      <c r="E839" s="202"/>
      <c r="F839" s="202"/>
      <c r="G839" s="202"/>
      <c r="H839" s="202"/>
      <c r="I839" s="203"/>
      <c r="J839" s="98"/>
      <c r="K839" s="98"/>
      <c r="L839" s="98"/>
      <c r="M839" s="376" t="s">
        <v>533</v>
      </c>
      <c r="N839" s="392">
        <f>N730+N736+N742+N748+N754+N760+N766+N772+N778+N784+N790+N796+N802+N808+N814+N820</f>
        <v>43270.149999999994</v>
      </c>
      <c r="O839" s="392">
        <f>O730+O736+O742+O748+O754+O760+O766+O772+O778+O784+O790+O796+O802+O808+O814+O820</f>
        <v>7225.2699999999995</v>
      </c>
      <c r="P839" s="293"/>
      <c r="Q839" s="293"/>
      <c r="R839" s="319"/>
      <c r="S839" s="268"/>
      <c r="T839" s="268"/>
    </row>
    <row r="840" spans="1:20" s="269" customFormat="1" ht="15.6" x14ac:dyDescent="0.3">
      <c r="A840" s="239" t="s">
        <v>425</v>
      </c>
      <c r="B840" s="239"/>
      <c r="C840" s="239"/>
      <c r="D840" s="239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393"/>
      <c r="R840" s="319"/>
      <c r="S840" s="268"/>
      <c r="T840" s="268"/>
    </row>
    <row r="841" spans="1:20" s="269" customFormat="1" ht="10.199999999999999" x14ac:dyDescent="0.2">
      <c r="A841" s="101">
        <f>A827+1</f>
        <v>131</v>
      </c>
      <c r="B841" s="105">
        <v>39995</v>
      </c>
      <c r="C841" s="105" t="s">
        <v>38</v>
      </c>
      <c r="D841" s="101" t="s">
        <v>39</v>
      </c>
      <c r="E841" s="101" t="s">
        <v>300</v>
      </c>
      <c r="F841" s="101" t="s">
        <v>299</v>
      </c>
      <c r="G841" s="101" t="s">
        <v>40</v>
      </c>
      <c r="H841" s="101" t="s">
        <v>426</v>
      </c>
      <c r="I841" s="101" t="s">
        <v>41</v>
      </c>
      <c r="J841" s="148">
        <v>25.1</v>
      </c>
      <c r="K841" s="72">
        <f>(S841+S843+S846)*6</f>
        <v>3931.7040000000006</v>
      </c>
      <c r="L841" s="72">
        <f>(S841+S843+S846)*3</f>
        <v>1965.8520000000003</v>
      </c>
      <c r="M841" s="17" t="s">
        <v>10</v>
      </c>
      <c r="N841" s="108" t="s">
        <v>489</v>
      </c>
      <c r="O841" s="73"/>
      <c r="P841" s="101" t="s">
        <v>40</v>
      </c>
      <c r="Q841" s="320"/>
      <c r="R841" s="319"/>
      <c r="S841" s="257">
        <f>14.5*J841*1*(1+0.1+0.3)*0.6</f>
        <v>305.71800000000002</v>
      </c>
      <c r="T841" s="268"/>
    </row>
    <row r="842" spans="1:20" s="269" customFormat="1" ht="20.399999999999999" x14ac:dyDescent="0.2">
      <c r="A842" s="102"/>
      <c r="B842" s="191"/>
      <c r="C842" s="191"/>
      <c r="D842" s="102"/>
      <c r="E842" s="103"/>
      <c r="F842" s="106"/>
      <c r="G842" s="102"/>
      <c r="H842" s="263"/>
      <c r="I842" s="102"/>
      <c r="J842" s="393"/>
      <c r="K842" s="332"/>
      <c r="L842" s="332"/>
      <c r="M842" s="17" t="s">
        <v>11</v>
      </c>
      <c r="N842" s="74"/>
      <c r="O842" s="75"/>
      <c r="P842" s="323"/>
      <c r="Q842" s="393"/>
      <c r="R842" s="319"/>
      <c r="S842" s="257"/>
      <c r="T842" s="268"/>
    </row>
    <row r="843" spans="1:20" s="269" customFormat="1" ht="10.199999999999999" x14ac:dyDescent="0.2">
      <c r="A843" s="102"/>
      <c r="B843" s="191"/>
      <c r="C843" s="191"/>
      <c r="D843" s="102"/>
      <c r="E843" s="102"/>
      <c r="F843" s="106"/>
      <c r="G843" s="102"/>
      <c r="H843" s="101" t="s">
        <v>427</v>
      </c>
      <c r="I843" s="102"/>
      <c r="J843" s="101">
        <v>14.3</v>
      </c>
      <c r="K843" s="332"/>
      <c r="L843" s="332"/>
      <c r="M843" s="17" t="s">
        <v>12</v>
      </c>
      <c r="N843" s="74"/>
      <c r="O843" s="75"/>
      <c r="P843" s="323"/>
      <c r="Q843" s="393"/>
      <c r="R843" s="319"/>
      <c r="S843" s="257">
        <f>14.5*J843*1*(1+0.1+0.3)*0.6</f>
        <v>174.17400000000004</v>
      </c>
      <c r="T843" s="268"/>
    </row>
    <row r="844" spans="1:20" s="269" customFormat="1" ht="10.199999999999999" x14ac:dyDescent="0.2">
      <c r="A844" s="102"/>
      <c r="B844" s="323"/>
      <c r="C844" s="323"/>
      <c r="D844" s="323"/>
      <c r="E844" s="323"/>
      <c r="F844" s="106"/>
      <c r="G844" s="323"/>
      <c r="H844" s="324"/>
      <c r="I844" s="323"/>
      <c r="J844" s="324"/>
      <c r="K844" s="332"/>
      <c r="L844" s="332"/>
      <c r="M844" s="17" t="s">
        <v>13</v>
      </c>
      <c r="N844" s="74"/>
      <c r="O844" s="75"/>
      <c r="P844" s="323"/>
      <c r="Q844" s="393"/>
      <c r="R844" s="319"/>
      <c r="S844" s="257"/>
      <c r="T844" s="268"/>
    </row>
    <row r="845" spans="1:20" s="269" customFormat="1" x14ac:dyDescent="0.3">
      <c r="A845" s="102"/>
      <c r="B845" s="323"/>
      <c r="C845" s="323"/>
      <c r="D845" s="323"/>
      <c r="E845" s="323"/>
      <c r="F845" s="106"/>
      <c r="G845" s="323"/>
      <c r="H845" s="101" t="s">
        <v>480</v>
      </c>
      <c r="I845" s="323"/>
      <c r="J845" s="101">
        <v>12</v>
      </c>
      <c r="K845" s="332"/>
      <c r="L845" s="332"/>
      <c r="M845" s="21" t="s">
        <v>14</v>
      </c>
      <c r="N845" s="74"/>
      <c r="O845" s="75"/>
      <c r="P845" s="323"/>
      <c r="Q845" s="393"/>
      <c r="R845" s="319"/>
      <c r="S845" s="394"/>
      <c r="T845" s="268"/>
    </row>
    <row r="846" spans="1:20" s="244" customFormat="1" x14ac:dyDescent="0.3">
      <c r="A846" s="187"/>
      <c r="B846" s="324"/>
      <c r="C846" s="324"/>
      <c r="D846" s="324"/>
      <c r="E846" s="324"/>
      <c r="F846" s="107"/>
      <c r="G846" s="324"/>
      <c r="H846" s="324"/>
      <c r="I846" s="324"/>
      <c r="J846" s="324"/>
      <c r="K846" s="332"/>
      <c r="L846" s="332"/>
      <c r="M846" s="381" t="s">
        <v>533</v>
      </c>
      <c r="N846" s="22">
        <v>125.45</v>
      </c>
      <c r="O846" s="22">
        <v>125.45</v>
      </c>
      <c r="P846" s="324"/>
      <c r="Q846" s="393"/>
      <c r="R846" s="242"/>
      <c r="S846" s="384">
        <f>14.5*J845*1.2*(1+0.1+0.3)*0.6</f>
        <v>175.392</v>
      </c>
      <c r="T846" s="243"/>
    </row>
    <row r="847" spans="1:20" s="269" customFormat="1" ht="10.199999999999999" x14ac:dyDescent="0.2">
      <c r="A847" s="101">
        <f>A841+1</f>
        <v>132</v>
      </c>
      <c r="B847" s="105">
        <v>40506</v>
      </c>
      <c r="C847" s="101" t="s">
        <v>38</v>
      </c>
      <c r="D847" s="101" t="s">
        <v>42</v>
      </c>
      <c r="E847" s="101" t="s">
        <v>300</v>
      </c>
      <c r="F847" s="101" t="s">
        <v>299</v>
      </c>
      <c r="G847" s="101" t="s">
        <v>40</v>
      </c>
      <c r="H847" s="101" t="s">
        <v>428</v>
      </c>
      <c r="I847" s="101" t="s">
        <v>43</v>
      </c>
      <c r="J847" s="101">
        <v>12</v>
      </c>
      <c r="K847" s="112">
        <f>S847*6</f>
        <v>964.65600000000006</v>
      </c>
      <c r="L847" s="72">
        <f>S847*3</f>
        <v>482.32800000000003</v>
      </c>
      <c r="M847" s="17" t="s">
        <v>10</v>
      </c>
      <c r="N847" s="395">
        <v>0</v>
      </c>
      <c r="O847" s="395">
        <v>0</v>
      </c>
      <c r="P847" s="101" t="s">
        <v>40</v>
      </c>
      <c r="Q847" s="320"/>
      <c r="R847" s="319"/>
      <c r="S847" s="257">
        <f>14.5*J847*1.1*(1+0.1+0.3)*0.6</f>
        <v>160.77600000000001</v>
      </c>
      <c r="T847" s="268"/>
    </row>
    <row r="848" spans="1:20" s="269" customFormat="1" ht="20.399999999999999" x14ac:dyDescent="0.2">
      <c r="A848" s="102"/>
      <c r="B848" s="323"/>
      <c r="C848" s="323"/>
      <c r="D848" s="323"/>
      <c r="E848" s="103"/>
      <c r="F848" s="106"/>
      <c r="G848" s="102"/>
      <c r="H848" s="323"/>
      <c r="I848" s="323"/>
      <c r="J848" s="323"/>
      <c r="K848" s="396"/>
      <c r="L848" s="332"/>
      <c r="M848" s="17" t="s">
        <v>11</v>
      </c>
      <c r="N848" s="72" t="s">
        <v>489</v>
      </c>
      <c r="O848" s="220"/>
      <c r="P848" s="102"/>
      <c r="Q848" s="393"/>
      <c r="R848" s="319"/>
      <c r="S848" s="257"/>
      <c r="T848" s="268"/>
    </row>
    <row r="849" spans="1:20" s="269" customFormat="1" ht="10.199999999999999" x14ac:dyDescent="0.2">
      <c r="A849" s="102"/>
      <c r="B849" s="323"/>
      <c r="C849" s="323"/>
      <c r="D849" s="323"/>
      <c r="E849" s="102"/>
      <c r="F849" s="106"/>
      <c r="G849" s="102"/>
      <c r="H849" s="323"/>
      <c r="I849" s="323"/>
      <c r="J849" s="323"/>
      <c r="K849" s="396"/>
      <c r="L849" s="332"/>
      <c r="M849" s="17" t="s">
        <v>12</v>
      </c>
      <c r="N849" s="221"/>
      <c r="O849" s="222"/>
      <c r="P849" s="102"/>
      <c r="Q849" s="393"/>
      <c r="R849" s="319"/>
      <c r="S849" s="257"/>
      <c r="T849" s="268"/>
    </row>
    <row r="850" spans="1:20" s="269" customFormat="1" ht="10.199999999999999" x14ac:dyDescent="0.2">
      <c r="A850" s="102"/>
      <c r="B850" s="323"/>
      <c r="C850" s="323"/>
      <c r="D850" s="323"/>
      <c r="E850" s="323"/>
      <c r="F850" s="106"/>
      <c r="G850" s="323"/>
      <c r="H850" s="323"/>
      <c r="I850" s="323"/>
      <c r="J850" s="323"/>
      <c r="K850" s="396"/>
      <c r="L850" s="332"/>
      <c r="M850" s="17" t="s">
        <v>13</v>
      </c>
      <c r="N850" s="221"/>
      <c r="O850" s="222"/>
      <c r="P850" s="102"/>
      <c r="Q850" s="393"/>
      <c r="R850" s="319"/>
      <c r="S850" s="257"/>
      <c r="T850" s="268"/>
    </row>
    <row r="851" spans="1:20" s="269" customFormat="1" ht="10.199999999999999" x14ac:dyDescent="0.2">
      <c r="A851" s="102"/>
      <c r="B851" s="323"/>
      <c r="C851" s="323"/>
      <c r="D851" s="323"/>
      <c r="E851" s="323"/>
      <c r="F851" s="106"/>
      <c r="G851" s="323"/>
      <c r="H851" s="323"/>
      <c r="I851" s="323"/>
      <c r="J851" s="323"/>
      <c r="K851" s="396"/>
      <c r="L851" s="332"/>
      <c r="M851" s="17" t="s">
        <v>14</v>
      </c>
      <c r="N851" s="63"/>
      <c r="O851" s="64"/>
      <c r="P851" s="102"/>
      <c r="Q851" s="393"/>
      <c r="R851" s="319"/>
      <c r="S851" s="257"/>
      <c r="T851" s="268"/>
    </row>
    <row r="852" spans="1:20" s="244" customFormat="1" x14ac:dyDescent="0.3">
      <c r="A852" s="187"/>
      <c r="B852" s="324"/>
      <c r="C852" s="324"/>
      <c r="D852" s="324"/>
      <c r="E852" s="324"/>
      <c r="F852" s="107"/>
      <c r="G852" s="324"/>
      <c r="H852" s="324"/>
      <c r="I852" s="324"/>
      <c r="J852" s="324"/>
      <c r="K852" s="397"/>
      <c r="L852" s="332"/>
      <c r="M852" s="398" t="s">
        <v>533</v>
      </c>
      <c r="N852" s="399">
        <v>0</v>
      </c>
      <c r="O852" s="399">
        <v>0</v>
      </c>
      <c r="P852" s="187"/>
      <c r="Q852" s="393"/>
      <c r="R852" s="242"/>
      <c r="S852" s="257"/>
      <c r="T852" s="243"/>
    </row>
    <row r="853" spans="1:20" s="269" customFormat="1" ht="10.199999999999999" x14ac:dyDescent="0.2">
      <c r="A853" s="89">
        <f>A847+1</f>
        <v>133</v>
      </c>
      <c r="B853" s="134">
        <v>44903</v>
      </c>
      <c r="C853" s="134">
        <v>46728</v>
      </c>
      <c r="D853" s="89" t="s">
        <v>558</v>
      </c>
      <c r="E853" s="89" t="s">
        <v>300</v>
      </c>
      <c r="F853" s="89" t="s">
        <v>299</v>
      </c>
      <c r="G853" s="89" t="s">
        <v>50</v>
      </c>
      <c r="H853" s="89" t="s">
        <v>429</v>
      </c>
      <c r="I853" s="89" t="s">
        <v>35</v>
      </c>
      <c r="J853" s="89">
        <v>100.6</v>
      </c>
      <c r="K853" s="111">
        <f>S853*6</f>
        <v>39069.820799999994</v>
      </c>
      <c r="L853" s="111">
        <f>S853*3</f>
        <v>19534.910399999997</v>
      </c>
      <c r="M853" s="49" t="s">
        <v>10</v>
      </c>
      <c r="N853" s="89" t="s">
        <v>585</v>
      </c>
      <c r="O853" s="355"/>
      <c r="P853" s="355"/>
      <c r="Q853" s="217" t="s">
        <v>546</v>
      </c>
      <c r="S853" s="257">
        <f>14.5*J853*1.2*(1+1.2+0.9)*1.2</f>
        <v>6511.6367999999993</v>
      </c>
      <c r="T853" s="268"/>
    </row>
    <row r="854" spans="1:20" s="269" customFormat="1" ht="20.399999999999999" x14ac:dyDescent="0.2">
      <c r="A854" s="89"/>
      <c r="B854" s="193"/>
      <c r="C854" s="193"/>
      <c r="D854" s="193"/>
      <c r="E854" s="89"/>
      <c r="F854" s="89"/>
      <c r="G854" s="193"/>
      <c r="H854" s="193"/>
      <c r="I854" s="193"/>
      <c r="J854" s="193"/>
      <c r="K854" s="334"/>
      <c r="L854" s="111"/>
      <c r="M854" s="49" t="s">
        <v>11</v>
      </c>
      <c r="N854" s="355"/>
      <c r="O854" s="355"/>
      <c r="P854" s="355"/>
      <c r="Q854" s="217"/>
      <c r="S854" s="257"/>
      <c r="T854" s="268"/>
    </row>
    <row r="855" spans="1:20" s="269" customFormat="1" ht="10.199999999999999" x14ac:dyDescent="0.2">
      <c r="A855" s="89"/>
      <c r="B855" s="193"/>
      <c r="C855" s="193"/>
      <c r="D855" s="193"/>
      <c r="E855" s="89"/>
      <c r="F855" s="89"/>
      <c r="G855" s="193"/>
      <c r="H855" s="193"/>
      <c r="I855" s="193"/>
      <c r="J855" s="193"/>
      <c r="K855" s="334"/>
      <c r="L855" s="111"/>
      <c r="M855" s="49" t="s">
        <v>12</v>
      </c>
      <c r="N855" s="355"/>
      <c r="O855" s="355"/>
      <c r="P855" s="355"/>
      <c r="Q855" s="217"/>
      <c r="S855" s="257"/>
      <c r="T855" s="268"/>
    </row>
    <row r="856" spans="1:20" s="269" customFormat="1" ht="10.199999999999999" x14ac:dyDescent="0.2">
      <c r="A856" s="89"/>
      <c r="B856" s="193"/>
      <c r="C856" s="193"/>
      <c r="D856" s="193"/>
      <c r="E856" s="193"/>
      <c r="F856" s="89"/>
      <c r="G856" s="193"/>
      <c r="H856" s="193"/>
      <c r="I856" s="193"/>
      <c r="J856" s="193"/>
      <c r="K856" s="334"/>
      <c r="L856" s="111"/>
      <c r="M856" s="49" t="s">
        <v>13</v>
      </c>
      <c r="N856" s="355"/>
      <c r="O856" s="355"/>
      <c r="P856" s="355"/>
      <c r="Q856" s="217"/>
      <c r="S856" s="257"/>
      <c r="T856" s="268"/>
    </row>
    <row r="857" spans="1:20" s="269" customFormat="1" ht="10.199999999999999" x14ac:dyDescent="0.2">
      <c r="A857" s="89"/>
      <c r="B857" s="193"/>
      <c r="C857" s="193"/>
      <c r="D857" s="193"/>
      <c r="E857" s="193"/>
      <c r="F857" s="89"/>
      <c r="G857" s="193"/>
      <c r="H857" s="193"/>
      <c r="I857" s="193"/>
      <c r="J857" s="193"/>
      <c r="K857" s="334"/>
      <c r="L857" s="111"/>
      <c r="M857" s="49" t="s">
        <v>14</v>
      </c>
      <c r="N857" s="355"/>
      <c r="O857" s="355"/>
      <c r="P857" s="355"/>
      <c r="Q857" s="217"/>
      <c r="S857" s="257"/>
      <c r="T857" s="268"/>
    </row>
    <row r="858" spans="1:20" s="269" customFormat="1" ht="10.199999999999999" x14ac:dyDescent="0.2">
      <c r="A858" s="89"/>
      <c r="B858" s="193"/>
      <c r="C858" s="193"/>
      <c r="D858" s="193"/>
      <c r="E858" s="193"/>
      <c r="F858" s="89"/>
      <c r="G858" s="193"/>
      <c r="H858" s="193"/>
      <c r="I858" s="193"/>
      <c r="J858" s="193"/>
      <c r="K858" s="334"/>
      <c r="L858" s="111"/>
      <c r="M858" s="336" t="s">
        <v>533</v>
      </c>
      <c r="N858" s="355"/>
      <c r="O858" s="355"/>
      <c r="P858" s="355"/>
      <c r="Q858" s="217"/>
      <c r="S858" s="257"/>
      <c r="T858" s="268"/>
    </row>
    <row r="859" spans="1:20" s="269" customFormat="1" ht="10.199999999999999" x14ac:dyDescent="0.2">
      <c r="A859" s="58">
        <f>A853+1</f>
        <v>134</v>
      </c>
      <c r="B859" s="95">
        <v>45002</v>
      </c>
      <c r="C859" s="95">
        <v>46765</v>
      </c>
      <c r="D859" s="58" t="s">
        <v>586</v>
      </c>
      <c r="E859" s="58" t="s">
        <v>300</v>
      </c>
      <c r="F859" s="58" t="s">
        <v>299</v>
      </c>
      <c r="G859" s="58" t="s">
        <v>51</v>
      </c>
      <c r="H859" s="58" t="s">
        <v>430</v>
      </c>
      <c r="I859" s="58" t="s">
        <v>484</v>
      </c>
      <c r="J859" s="58">
        <v>37.1</v>
      </c>
      <c r="K859" s="67">
        <f>S859*6</f>
        <v>14408.452800000001</v>
      </c>
      <c r="L859" s="111">
        <f>S859*3</f>
        <v>7204.2264000000005</v>
      </c>
      <c r="M859" s="11" t="s">
        <v>10</v>
      </c>
      <c r="N859" s="79" t="s">
        <v>585</v>
      </c>
      <c r="O859" s="400"/>
      <c r="P859" s="245"/>
      <c r="Q859" s="58" t="s">
        <v>546</v>
      </c>
      <c r="R859" s="319"/>
      <c r="S859" s="257">
        <f>14.5*J859*1.2*(1+1.2+0.9)*1.2</f>
        <v>2401.4088000000002</v>
      </c>
      <c r="T859" s="268"/>
    </row>
    <row r="860" spans="1:20" s="269" customFormat="1" ht="20.399999999999999" x14ac:dyDescent="0.2">
      <c r="A860" s="71"/>
      <c r="B860" s="136"/>
      <c r="C860" s="136"/>
      <c r="D860" s="136"/>
      <c r="E860" s="71"/>
      <c r="F860" s="71"/>
      <c r="G860" s="136"/>
      <c r="H860" s="136"/>
      <c r="I860" s="136"/>
      <c r="J860" s="136"/>
      <c r="K860" s="401"/>
      <c r="L860" s="111"/>
      <c r="M860" s="49" t="s">
        <v>11</v>
      </c>
      <c r="N860" s="249"/>
      <c r="O860" s="402"/>
      <c r="P860" s="250"/>
      <c r="Q860" s="71"/>
      <c r="R860" s="319"/>
      <c r="S860" s="257"/>
      <c r="T860" s="268"/>
    </row>
    <row r="861" spans="1:20" s="269" customFormat="1" ht="10.199999999999999" x14ac:dyDescent="0.2">
      <c r="A861" s="71"/>
      <c r="B861" s="136"/>
      <c r="C861" s="136"/>
      <c r="D861" s="136"/>
      <c r="E861" s="71"/>
      <c r="F861" s="71"/>
      <c r="G861" s="136"/>
      <c r="H861" s="136"/>
      <c r="I861" s="136"/>
      <c r="J861" s="136"/>
      <c r="K861" s="401"/>
      <c r="L861" s="111"/>
      <c r="M861" s="49" t="s">
        <v>12</v>
      </c>
      <c r="N861" s="249"/>
      <c r="O861" s="402"/>
      <c r="P861" s="250"/>
      <c r="Q861" s="71"/>
      <c r="R861" s="319"/>
      <c r="S861" s="257"/>
      <c r="T861" s="268"/>
    </row>
    <row r="862" spans="1:20" s="269" customFormat="1" ht="10.199999999999999" x14ac:dyDescent="0.2">
      <c r="A862" s="71"/>
      <c r="B862" s="136"/>
      <c r="C862" s="136"/>
      <c r="D862" s="136"/>
      <c r="E862" s="136"/>
      <c r="F862" s="71"/>
      <c r="G862" s="136"/>
      <c r="H862" s="136"/>
      <c r="I862" s="136"/>
      <c r="J862" s="136"/>
      <c r="K862" s="401"/>
      <c r="L862" s="111"/>
      <c r="M862" s="49" t="s">
        <v>13</v>
      </c>
      <c r="N862" s="249"/>
      <c r="O862" s="402"/>
      <c r="P862" s="250"/>
      <c r="Q862" s="71"/>
      <c r="R862" s="319"/>
      <c r="S862" s="257"/>
      <c r="T862" s="268"/>
    </row>
    <row r="863" spans="1:20" s="269" customFormat="1" ht="10.199999999999999" x14ac:dyDescent="0.2">
      <c r="A863" s="71"/>
      <c r="B863" s="136"/>
      <c r="C863" s="136"/>
      <c r="D863" s="136"/>
      <c r="E863" s="136"/>
      <c r="F863" s="71"/>
      <c r="G863" s="136"/>
      <c r="H863" s="136"/>
      <c r="I863" s="136"/>
      <c r="J863" s="136"/>
      <c r="K863" s="401"/>
      <c r="L863" s="111"/>
      <c r="M863" s="49" t="s">
        <v>14</v>
      </c>
      <c r="N863" s="249"/>
      <c r="O863" s="402"/>
      <c r="P863" s="250"/>
      <c r="Q863" s="71"/>
      <c r="R863" s="319"/>
      <c r="S863" s="257"/>
      <c r="T863" s="268"/>
    </row>
    <row r="864" spans="1:20" s="269" customFormat="1" ht="10.199999999999999" x14ac:dyDescent="0.2">
      <c r="A864" s="87"/>
      <c r="B864" s="137"/>
      <c r="C864" s="137"/>
      <c r="D864" s="137"/>
      <c r="E864" s="137"/>
      <c r="F864" s="87"/>
      <c r="G864" s="137"/>
      <c r="H864" s="137"/>
      <c r="I864" s="137"/>
      <c r="J864" s="137"/>
      <c r="K864" s="403"/>
      <c r="L864" s="111"/>
      <c r="M864" s="295" t="s">
        <v>533</v>
      </c>
      <c r="N864" s="404"/>
      <c r="O864" s="405"/>
      <c r="P864" s="406"/>
      <c r="Q864" s="87"/>
      <c r="R864" s="319"/>
      <c r="S864" s="257"/>
      <c r="T864" s="268"/>
    </row>
    <row r="865" spans="1:20" s="269" customFormat="1" ht="10.199999999999999" x14ac:dyDescent="0.2">
      <c r="A865" s="101">
        <f>A859+1</f>
        <v>135</v>
      </c>
      <c r="B865" s="105">
        <v>42523</v>
      </c>
      <c r="C865" s="105">
        <v>46175</v>
      </c>
      <c r="D865" s="101" t="s">
        <v>63</v>
      </c>
      <c r="E865" s="101" t="s">
        <v>300</v>
      </c>
      <c r="F865" s="101" t="s">
        <v>299</v>
      </c>
      <c r="G865" s="101" t="s">
        <v>64</v>
      </c>
      <c r="H865" s="101" t="s">
        <v>431</v>
      </c>
      <c r="I865" s="101" t="s">
        <v>572</v>
      </c>
      <c r="J865" s="101">
        <v>62.6</v>
      </c>
      <c r="K865" s="112">
        <f>S865*6</f>
        <v>5332.9190399999989</v>
      </c>
      <c r="L865" s="266">
        <f>S865*3</f>
        <v>2666.4595199999994</v>
      </c>
      <c r="M865" s="17" t="s">
        <v>10</v>
      </c>
      <c r="N865" s="108" t="s">
        <v>457</v>
      </c>
      <c r="O865" s="73"/>
      <c r="P865" s="101" t="s">
        <v>64</v>
      </c>
      <c r="Q865" s="320"/>
      <c r="R865" s="319"/>
      <c r="S865" s="257">
        <f>14.5*J865*1.2*(1+1.2*0.3)*0.6</f>
        <v>888.81983999999989</v>
      </c>
      <c r="T865" s="268"/>
    </row>
    <row r="866" spans="1:20" s="269" customFormat="1" ht="20.399999999999999" x14ac:dyDescent="0.2">
      <c r="A866" s="102"/>
      <c r="B866" s="323"/>
      <c r="C866" s="323"/>
      <c r="D866" s="323"/>
      <c r="E866" s="103"/>
      <c r="F866" s="106"/>
      <c r="G866" s="323"/>
      <c r="H866" s="106"/>
      <c r="I866" s="323"/>
      <c r="J866" s="323"/>
      <c r="K866" s="396"/>
      <c r="L866" s="204"/>
      <c r="M866" s="17" t="s">
        <v>11</v>
      </c>
      <c r="N866" s="74"/>
      <c r="O866" s="75"/>
      <c r="P866" s="323"/>
      <c r="Q866" s="393"/>
      <c r="R866" s="319"/>
      <c r="S866" s="257"/>
      <c r="T866" s="268"/>
    </row>
    <row r="867" spans="1:20" s="269" customFormat="1" ht="10.199999999999999" x14ac:dyDescent="0.2">
      <c r="A867" s="102"/>
      <c r="B867" s="323"/>
      <c r="C867" s="323"/>
      <c r="D867" s="323"/>
      <c r="E867" s="102"/>
      <c r="F867" s="106"/>
      <c r="G867" s="323"/>
      <c r="H867" s="106"/>
      <c r="I867" s="323"/>
      <c r="J867" s="323"/>
      <c r="K867" s="396"/>
      <c r="L867" s="204"/>
      <c r="M867" s="17" t="s">
        <v>12</v>
      </c>
      <c r="N867" s="74"/>
      <c r="O867" s="75"/>
      <c r="P867" s="323"/>
      <c r="Q867" s="393"/>
      <c r="R867" s="319"/>
      <c r="S867" s="257"/>
      <c r="T867" s="268"/>
    </row>
    <row r="868" spans="1:20" s="269" customFormat="1" ht="10.199999999999999" x14ac:dyDescent="0.2">
      <c r="A868" s="102"/>
      <c r="B868" s="323"/>
      <c r="C868" s="323"/>
      <c r="D868" s="323"/>
      <c r="E868" s="323"/>
      <c r="F868" s="106"/>
      <c r="G868" s="323"/>
      <c r="H868" s="106"/>
      <c r="I868" s="323"/>
      <c r="J868" s="323"/>
      <c r="K868" s="396"/>
      <c r="L868" s="204"/>
      <c r="M868" s="17" t="s">
        <v>13</v>
      </c>
      <c r="N868" s="74"/>
      <c r="O868" s="75"/>
      <c r="P868" s="323"/>
      <c r="Q868" s="393"/>
      <c r="R868" s="319"/>
      <c r="S868" s="257"/>
      <c r="T868" s="268"/>
    </row>
    <row r="869" spans="1:20" s="269" customFormat="1" ht="10.199999999999999" x14ac:dyDescent="0.2">
      <c r="A869" s="102"/>
      <c r="B869" s="323"/>
      <c r="C869" s="323"/>
      <c r="D869" s="323"/>
      <c r="E869" s="323"/>
      <c r="F869" s="106"/>
      <c r="G869" s="323"/>
      <c r="H869" s="106"/>
      <c r="I869" s="323"/>
      <c r="J869" s="323"/>
      <c r="K869" s="396"/>
      <c r="L869" s="204"/>
      <c r="M869" s="17" t="s">
        <v>14</v>
      </c>
      <c r="N869" s="74"/>
      <c r="O869" s="75"/>
      <c r="P869" s="323"/>
      <c r="Q869" s="393"/>
      <c r="R869" s="319"/>
      <c r="S869" s="257"/>
      <c r="T869" s="268"/>
    </row>
    <row r="870" spans="1:20" s="244" customFormat="1" x14ac:dyDescent="0.3">
      <c r="A870" s="187"/>
      <c r="B870" s="324"/>
      <c r="C870" s="324"/>
      <c r="D870" s="324"/>
      <c r="E870" s="324"/>
      <c r="F870" s="107"/>
      <c r="G870" s="324"/>
      <c r="H870" s="107"/>
      <c r="I870" s="324"/>
      <c r="J870" s="324"/>
      <c r="K870" s="397"/>
      <c r="L870" s="204"/>
      <c r="M870" s="379" t="s">
        <v>533</v>
      </c>
      <c r="N870" s="19">
        <v>264.2</v>
      </c>
      <c r="O870" s="19">
        <v>133.87</v>
      </c>
      <c r="P870" s="324"/>
      <c r="Q870" s="393"/>
      <c r="R870" s="242"/>
      <c r="S870" s="257"/>
      <c r="T870" s="243"/>
    </row>
    <row r="871" spans="1:20" s="269" customFormat="1" ht="10.199999999999999" x14ac:dyDescent="0.2">
      <c r="A871" s="58">
        <f>A865+1</f>
        <v>136</v>
      </c>
      <c r="B871" s="95">
        <v>44258</v>
      </c>
      <c r="C871" s="95">
        <v>45296</v>
      </c>
      <c r="D871" s="58" t="s">
        <v>110</v>
      </c>
      <c r="E871" s="58" t="s">
        <v>300</v>
      </c>
      <c r="F871" s="58" t="s">
        <v>299</v>
      </c>
      <c r="G871" s="133" t="s">
        <v>538</v>
      </c>
      <c r="H871" s="58" t="s">
        <v>354</v>
      </c>
      <c r="I871" s="58" t="s">
        <v>111</v>
      </c>
      <c r="J871" s="58">
        <v>32.200000000000003</v>
      </c>
      <c r="K871" s="59">
        <f>S871*6</f>
        <v>978.43743304699331</v>
      </c>
      <c r="L871" s="59">
        <f>S871*3</f>
        <v>489.21871652349665</v>
      </c>
      <c r="M871" s="49" t="s">
        <v>10</v>
      </c>
      <c r="N871" s="34">
        <v>0</v>
      </c>
      <c r="O871" s="34">
        <v>0</v>
      </c>
      <c r="P871" s="67" t="s">
        <v>538</v>
      </c>
      <c r="Q871" s="58"/>
      <c r="R871" s="319"/>
      <c r="S871" s="257">
        <f>14.5*J871*1*(1+0.1+0.9)*1.2*12/1979*24</f>
        <v>163.07290550783222</v>
      </c>
      <c r="T871" s="268"/>
    </row>
    <row r="872" spans="1:20" s="269" customFormat="1" ht="20.399999999999999" x14ac:dyDescent="0.2">
      <c r="A872" s="71"/>
      <c r="B872" s="136"/>
      <c r="C872" s="136"/>
      <c r="D872" s="136"/>
      <c r="E872" s="71"/>
      <c r="F872" s="136"/>
      <c r="G872" s="136"/>
      <c r="H872" s="136"/>
      <c r="I872" s="136"/>
      <c r="J872" s="136"/>
      <c r="K872" s="341"/>
      <c r="L872" s="341"/>
      <c r="M872" s="49" t="s">
        <v>11</v>
      </c>
      <c r="N872" s="34">
        <v>0</v>
      </c>
      <c r="O872" s="34">
        <v>0</v>
      </c>
      <c r="P872" s="283"/>
      <c r="Q872" s="71"/>
      <c r="R872" s="319"/>
      <c r="S872" s="257"/>
      <c r="T872" s="268"/>
    </row>
    <row r="873" spans="1:20" s="269" customFormat="1" ht="10.199999999999999" x14ac:dyDescent="0.2">
      <c r="A873" s="71"/>
      <c r="B873" s="136"/>
      <c r="C873" s="136"/>
      <c r="D873" s="136"/>
      <c r="E873" s="71"/>
      <c r="F873" s="136"/>
      <c r="G873" s="136"/>
      <c r="H873" s="136"/>
      <c r="I873" s="136"/>
      <c r="J873" s="136"/>
      <c r="K873" s="341"/>
      <c r="L873" s="341"/>
      <c r="M873" s="49" t="s">
        <v>12</v>
      </c>
      <c r="N873" s="34">
        <v>0</v>
      </c>
      <c r="O873" s="34">
        <v>0</v>
      </c>
      <c r="P873" s="283"/>
      <c r="Q873" s="71"/>
      <c r="R873" s="319"/>
      <c r="S873" s="257"/>
      <c r="T873" s="268"/>
    </row>
    <row r="874" spans="1:20" s="269" customFormat="1" ht="10.199999999999999" x14ac:dyDescent="0.2">
      <c r="A874" s="71"/>
      <c r="B874" s="136"/>
      <c r="C874" s="136"/>
      <c r="D874" s="136"/>
      <c r="E874" s="71"/>
      <c r="F874" s="136"/>
      <c r="G874" s="136"/>
      <c r="H874" s="136"/>
      <c r="I874" s="136"/>
      <c r="J874" s="136"/>
      <c r="K874" s="341"/>
      <c r="L874" s="341"/>
      <c r="M874" s="49" t="s">
        <v>13</v>
      </c>
      <c r="N874" s="34">
        <v>0</v>
      </c>
      <c r="O874" s="34">
        <v>0</v>
      </c>
      <c r="P874" s="283"/>
      <c r="Q874" s="71"/>
      <c r="R874" s="319"/>
      <c r="S874" s="257"/>
      <c r="T874" s="268"/>
    </row>
    <row r="875" spans="1:20" s="269" customFormat="1" ht="10.199999999999999" x14ac:dyDescent="0.2">
      <c r="A875" s="71"/>
      <c r="B875" s="136"/>
      <c r="C875" s="136"/>
      <c r="D875" s="136"/>
      <c r="E875" s="71"/>
      <c r="F875" s="136"/>
      <c r="G875" s="136"/>
      <c r="H875" s="136"/>
      <c r="I875" s="136"/>
      <c r="J875" s="136"/>
      <c r="K875" s="341"/>
      <c r="L875" s="341"/>
      <c r="M875" s="49" t="s">
        <v>14</v>
      </c>
      <c r="N875" s="34">
        <v>0</v>
      </c>
      <c r="O875" s="34">
        <v>0</v>
      </c>
      <c r="P875" s="283"/>
      <c r="Q875" s="71"/>
      <c r="R875" s="319"/>
      <c r="S875" s="257"/>
      <c r="T875" s="268"/>
    </row>
    <row r="876" spans="1:20" s="269" customFormat="1" ht="10.199999999999999" x14ac:dyDescent="0.2">
      <c r="A876" s="87"/>
      <c r="B876" s="137"/>
      <c r="C876" s="137"/>
      <c r="D876" s="137"/>
      <c r="E876" s="87"/>
      <c r="F876" s="137"/>
      <c r="G876" s="137"/>
      <c r="H876" s="137"/>
      <c r="I876" s="137"/>
      <c r="J876" s="137"/>
      <c r="K876" s="144"/>
      <c r="L876" s="144"/>
      <c r="M876" s="49" t="s">
        <v>533</v>
      </c>
      <c r="N876" s="34">
        <v>61.83</v>
      </c>
      <c r="O876" s="34">
        <v>61.83</v>
      </c>
      <c r="P876" s="284"/>
      <c r="Q876" s="87"/>
      <c r="R876" s="319"/>
      <c r="S876" s="257"/>
      <c r="T876" s="268"/>
    </row>
    <row r="877" spans="1:20" s="269" customFormat="1" ht="10.199999999999999" x14ac:dyDescent="0.2">
      <c r="A877" s="101">
        <f>A871+1</f>
        <v>137</v>
      </c>
      <c r="B877" s="105">
        <v>44407</v>
      </c>
      <c r="C877" s="101" t="s">
        <v>145</v>
      </c>
      <c r="D877" s="101" t="s">
        <v>146</v>
      </c>
      <c r="E877" s="101" t="s">
        <v>300</v>
      </c>
      <c r="F877" s="101" t="s">
        <v>299</v>
      </c>
      <c r="G877" s="101" t="s">
        <v>40</v>
      </c>
      <c r="H877" s="57" t="s">
        <v>432</v>
      </c>
      <c r="I877" s="156" t="s">
        <v>147</v>
      </c>
      <c r="J877" s="177">
        <v>1</v>
      </c>
      <c r="K877" s="101">
        <f>(S877+S879)*6</f>
        <v>300.14999999999998</v>
      </c>
      <c r="L877" s="266">
        <f>(S877+S879)*3</f>
        <v>150.07499999999999</v>
      </c>
      <c r="M877" s="16" t="s">
        <v>10</v>
      </c>
      <c r="N877" s="108" t="s">
        <v>489</v>
      </c>
      <c r="O877" s="73"/>
      <c r="P877" s="101" t="s">
        <v>40</v>
      </c>
      <c r="Q877" s="320"/>
      <c r="R877" s="319"/>
      <c r="S877" s="257">
        <f>14.5*J877*1.2*(1+1.2+0.3)*0.6</f>
        <v>26.099999999999998</v>
      </c>
      <c r="T877" s="268"/>
    </row>
    <row r="878" spans="1:20" s="269" customFormat="1" ht="20.399999999999999" x14ac:dyDescent="0.2">
      <c r="A878" s="102"/>
      <c r="B878" s="103"/>
      <c r="C878" s="103"/>
      <c r="D878" s="103"/>
      <c r="E878" s="103"/>
      <c r="F878" s="106"/>
      <c r="G878" s="103"/>
      <c r="H878" s="263"/>
      <c r="I878" s="103"/>
      <c r="J878" s="107"/>
      <c r="K878" s="102"/>
      <c r="L878" s="204"/>
      <c r="M878" s="17" t="s">
        <v>11</v>
      </c>
      <c r="N878" s="74"/>
      <c r="O878" s="75"/>
      <c r="P878" s="103"/>
      <c r="Q878" s="393"/>
      <c r="R878" s="319"/>
      <c r="S878" s="257"/>
      <c r="T878" s="268"/>
    </row>
    <row r="879" spans="1:20" s="269" customFormat="1" ht="10.199999999999999" x14ac:dyDescent="0.2">
      <c r="A879" s="102"/>
      <c r="B879" s="323"/>
      <c r="C879" s="323"/>
      <c r="D879" s="323"/>
      <c r="E879" s="323"/>
      <c r="F879" s="106"/>
      <c r="G879" s="323"/>
      <c r="H879" s="57" t="s">
        <v>433</v>
      </c>
      <c r="I879" s="323"/>
      <c r="J879" s="177">
        <v>1</v>
      </c>
      <c r="K879" s="102"/>
      <c r="L879" s="204"/>
      <c r="M879" s="17" t="s">
        <v>12</v>
      </c>
      <c r="N879" s="74"/>
      <c r="O879" s="75"/>
      <c r="P879" s="323"/>
      <c r="Q879" s="393"/>
      <c r="R879" s="319"/>
      <c r="S879" s="257">
        <f>14.5*J879*1.1*(1+1.2+0.3)*0.6</f>
        <v>23.925000000000001</v>
      </c>
      <c r="T879" s="268"/>
    </row>
    <row r="880" spans="1:20" s="269" customFormat="1" ht="10.199999999999999" x14ac:dyDescent="0.2">
      <c r="A880" s="102"/>
      <c r="B880" s="323"/>
      <c r="C880" s="323"/>
      <c r="D880" s="323"/>
      <c r="E880" s="323"/>
      <c r="F880" s="106"/>
      <c r="G880" s="323"/>
      <c r="H880" s="323"/>
      <c r="I880" s="323"/>
      <c r="J880" s="323"/>
      <c r="K880" s="102"/>
      <c r="L880" s="204"/>
      <c r="M880" s="17" t="s">
        <v>13</v>
      </c>
      <c r="N880" s="74"/>
      <c r="O880" s="75"/>
      <c r="P880" s="323"/>
      <c r="Q880" s="393"/>
      <c r="R880" s="319"/>
      <c r="S880" s="257"/>
      <c r="T880" s="268"/>
    </row>
    <row r="881" spans="1:20" s="269" customFormat="1" ht="10.199999999999999" x14ac:dyDescent="0.2">
      <c r="A881" s="102"/>
      <c r="B881" s="323"/>
      <c r="C881" s="323"/>
      <c r="D881" s="323"/>
      <c r="E881" s="323"/>
      <c r="F881" s="106"/>
      <c r="G881" s="323"/>
      <c r="H881" s="323"/>
      <c r="I881" s="323"/>
      <c r="J881" s="323"/>
      <c r="K881" s="102"/>
      <c r="L881" s="204"/>
      <c r="M881" s="17" t="s">
        <v>14</v>
      </c>
      <c r="N881" s="74"/>
      <c r="O881" s="75"/>
      <c r="P881" s="323"/>
      <c r="Q881" s="393"/>
      <c r="R881" s="319"/>
      <c r="S881" s="257"/>
      <c r="T881" s="268"/>
    </row>
    <row r="882" spans="1:20" s="244" customFormat="1" x14ac:dyDescent="0.3">
      <c r="A882" s="187"/>
      <c r="B882" s="324"/>
      <c r="C882" s="324"/>
      <c r="D882" s="324"/>
      <c r="E882" s="324"/>
      <c r="F882" s="107"/>
      <c r="G882" s="324"/>
      <c r="H882" s="324"/>
      <c r="I882" s="324"/>
      <c r="J882" s="324"/>
      <c r="K882" s="187"/>
      <c r="L882" s="204"/>
      <c r="M882" s="379" t="s">
        <v>533</v>
      </c>
      <c r="N882" s="23">
        <v>0</v>
      </c>
      <c r="O882" s="23">
        <v>0</v>
      </c>
      <c r="P882" s="324"/>
      <c r="Q882" s="393"/>
      <c r="R882" s="242"/>
      <c r="S882" s="257"/>
      <c r="T882" s="243"/>
    </row>
    <row r="883" spans="1:20" s="269" customFormat="1" ht="10.199999999999999" x14ac:dyDescent="0.2">
      <c r="A883" s="58">
        <f>A877+1</f>
        <v>138</v>
      </c>
      <c r="B883" s="70">
        <v>44887</v>
      </c>
      <c r="C883" s="70">
        <v>45165</v>
      </c>
      <c r="D883" s="58" t="s">
        <v>600</v>
      </c>
      <c r="E883" s="58" t="s">
        <v>399</v>
      </c>
      <c r="F883" s="58" t="s">
        <v>299</v>
      </c>
      <c r="G883" s="110" t="s">
        <v>188</v>
      </c>
      <c r="H883" s="110" t="s">
        <v>434</v>
      </c>
      <c r="I883" s="110" t="s">
        <v>601</v>
      </c>
      <c r="J883" s="117">
        <v>655.7</v>
      </c>
      <c r="K883" s="111">
        <f>S883*6</f>
        <v>17684.229000000003</v>
      </c>
      <c r="L883" s="111">
        <f>S883*3</f>
        <v>8842.1145000000015</v>
      </c>
      <c r="M883" s="49" t="s">
        <v>10</v>
      </c>
      <c r="N883" s="79" t="s">
        <v>457</v>
      </c>
      <c r="O883" s="60"/>
      <c r="P883" s="110" t="s">
        <v>188</v>
      </c>
      <c r="Q883" s="89"/>
      <c r="R883" s="319"/>
      <c r="S883" s="257">
        <f>14.5*J883*1*(1+1.2+0.9)*0.1</f>
        <v>2947.3715000000007</v>
      </c>
      <c r="T883" s="268"/>
    </row>
    <row r="884" spans="1:20" s="269" customFormat="1" ht="20.399999999999999" x14ac:dyDescent="0.2">
      <c r="A884" s="71"/>
      <c r="B884" s="293"/>
      <c r="C884" s="293"/>
      <c r="D884" s="293"/>
      <c r="E884" s="71"/>
      <c r="F884" s="92"/>
      <c r="G884" s="293"/>
      <c r="H884" s="293"/>
      <c r="I884" s="293"/>
      <c r="J884" s="293"/>
      <c r="K884" s="175"/>
      <c r="L884" s="175"/>
      <c r="M884" s="49" t="s">
        <v>11</v>
      </c>
      <c r="N884" s="61"/>
      <c r="O884" s="62"/>
      <c r="P884" s="293"/>
      <c r="Q884" s="213"/>
      <c r="R884" s="319"/>
      <c r="S884" s="257"/>
      <c r="T884" s="268"/>
    </row>
    <row r="885" spans="1:20" s="269" customFormat="1" ht="10.199999999999999" x14ac:dyDescent="0.2">
      <c r="A885" s="71"/>
      <c r="B885" s="293"/>
      <c r="C885" s="293"/>
      <c r="D885" s="293"/>
      <c r="E885" s="293"/>
      <c r="F885" s="92"/>
      <c r="G885" s="293"/>
      <c r="H885" s="293"/>
      <c r="I885" s="293"/>
      <c r="J885" s="293"/>
      <c r="K885" s="175"/>
      <c r="L885" s="175"/>
      <c r="M885" s="49" t="s">
        <v>12</v>
      </c>
      <c r="N885" s="61"/>
      <c r="O885" s="62"/>
      <c r="P885" s="293"/>
      <c r="Q885" s="213"/>
      <c r="R885" s="319"/>
      <c r="S885" s="257"/>
      <c r="T885" s="268"/>
    </row>
    <row r="886" spans="1:20" s="269" customFormat="1" ht="10.199999999999999" x14ac:dyDescent="0.2">
      <c r="A886" s="71"/>
      <c r="B886" s="293"/>
      <c r="C886" s="293"/>
      <c r="D886" s="293"/>
      <c r="E886" s="293"/>
      <c r="F886" s="92"/>
      <c r="G886" s="293"/>
      <c r="H886" s="293"/>
      <c r="I886" s="293"/>
      <c r="J886" s="293"/>
      <c r="K886" s="175"/>
      <c r="L886" s="175"/>
      <c r="M886" s="49" t="s">
        <v>13</v>
      </c>
      <c r="N886" s="61"/>
      <c r="O886" s="62"/>
      <c r="P886" s="293"/>
      <c r="Q886" s="213"/>
      <c r="R886" s="319"/>
      <c r="S886" s="257"/>
      <c r="T886" s="268"/>
    </row>
    <row r="887" spans="1:20" s="269" customFormat="1" ht="10.199999999999999" x14ac:dyDescent="0.2">
      <c r="A887" s="71"/>
      <c r="B887" s="293"/>
      <c r="C887" s="293"/>
      <c r="D887" s="293"/>
      <c r="E887" s="293"/>
      <c r="F887" s="92"/>
      <c r="G887" s="293"/>
      <c r="H887" s="293"/>
      <c r="I887" s="293"/>
      <c r="J887" s="293"/>
      <c r="K887" s="175"/>
      <c r="L887" s="175"/>
      <c r="M887" s="49" t="s">
        <v>14</v>
      </c>
      <c r="N887" s="61"/>
      <c r="O887" s="62"/>
      <c r="P887" s="293"/>
      <c r="Q887" s="213"/>
      <c r="R887" s="319"/>
      <c r="S887" s="257"/>
      <c r="T887" s="268"/>
    </row>
    <row r="888" spans="1:20" s="244" customFormat="1" x14ac:dyDescent="0.3">
      <c r="A888" s="87"/>
      <c r="B888" s="289"/>
      <c r="C888" s="289"/>
      <c r="D888" s="289"/>
      <c r="E888" s="289"/>
      <c r="F888" s="78"/>
      <c r="G888" s="289"/>
      <c r="H888" s="289"/>
      <c r="I888" s="289"/>
      <c r="J888" s="289"/>
      <c r="K888" s="175"/>
      <c r="L888" s="175"/>
      <c r="M888" s="49" t="s">
        <v>533</v>
      </c>
      <c r="N888" s="217" t="s">
        <v>485</v>
      </c>
      <c r="O888" s="218"/>
      <c r="P888" s="289"/>
      <c r="Q888" s="213"/>
      <c r="R888" s="242"/>
      <c r="S888" s="257"/>
      <c r="T888" s="243"/>
    </row>
    <row r="889" spans="1:20" s="269" customFormat="1" ht="10.199999999999999" x14ac:dyDescent="0.2">
      <c r="A889" s="58">
        <f>A883+1</f>
        <v>139</v>
      </c>
      <c r="B889" s="95">
        <v>43301</v>
      </c>
      <c r="C889" s="95">
        <v>46953</v>
      </c>
      <c r="D889" s="58" t="s">
        <v>462</v>
      </c>
      <c r="E889" s="58" t="s">
        <v>403</v>
      </c>
      <c r="F889" s="58" t="s">
        <v>299</v>
      </c>
      <c r="G889" s="58" t="s">
        <v>246</v>
      </c>
      <c r="H889" s="58" t="s">
        <v>435</v>
      </c>
      <c r="I889" s="58" t="s">
        <v>247</v>
      </c>
      <c r="J889" s="58">
        <f>333.4+454.6</f>
        <v>788</v>
      </c>
      <c r="K889" s="111">
        <f>S889*6</f>
        <v>102834</v>
      </c>
      <c r="L889" s="111">
        <f>S889*3</f>
        <v>51417</v>
      </c>
      <c r="M889" s="49" t="s">
        <v>10</v>
      </c>
      <c r="N889" s="59" t="s">
        <v>461</v>
      </c>
      <c r="O889" s="272"/>
      <c r="P889" s="60"/>
      <c r="Q889" s="193"/>
      <c r="R889" s="319"/>
      <c r="S889" s="257">
        <f>14.5*J889*1*(1+1.2+0.3)*0.6</f>
        <v>17139</v>
      </c>
      <c r="T889" s="268"/>
    </row>
    <row r="890" spans="1:20" s="269" customFormat="1" ht="20.399999999999999" x14ac:dyDescent="0.2">
      <c r="A890" s="71"/>
      <c r="B890" s="293"/>
      <c r="C890" s="293"/>
      <c r="D890" s="293"/>
      <c r="E890" s="71"/>
      <c r="F890" s="92"/>
      <c r="G890" s="92"/>
      <c r="H890" s="293"/>
      <c r="I890" s="293"/>
      <c r="J890" s="293"/>
      <c r="K890" s="175"/>
      <c r="L890" s="175"/>
      <c r="M890" s="49" t="s">
        <v>11</v>
      </c>
      <c r="N890" s="61"/>
      <c r="O890" s="273"/>
      <c r="P890" s="62"/>
      <c r="Q890" s="355"/>
      <c r="R890" s="319"/>
      <c r="S890" s="257"/>
      <c r="T890" s="268"/>
    </row>
    <row r="891" spans="1:20" s="269" customFormat="1" ht="10.199999999999999" x14ac:dyDescent="0.2">
      <c r="A891" s="71"/>
      <c r="B891" s="293"/>
      <c r="C891" s="293"/>
      <c r="D891" s="293"/>
      <c r="E891" s="293"/>
      <c r="F891" s="92"/>
      <c r="G891" s="92"/>
      <c r="H891" s="293"/>
      <c r="I891" s="293"/>
      <c r="J891" s="293"/>
      <c r="K891" s="175"/>
      <c r="L891" s="175"/>
      <c r="M891" s="49" t="s">
        <v>12</v>
      </c>
      <c r="N891" s="61"/>
      <c r="O891" s="273"/>
      <c r="P891" s="62"/>
      <c r="Q891" s="355"/>
      <c r="R891" s="319"/>
      <c r="S891" s="257"/>
      <c r="T891" s="268"/>
    </row>
    <row r="892" spans="1:20" s="269" customFormat="1" ht="10.199999999999999" x14ac:dyDescent="0.2">
      <c r="A892" s="71"/>
      <c r="B892" s="293"/>
      <c r="C892" s="293"/>
      <c r="D892" s="293"/>
      <c r="E892" s="293"/>
      <c r="F892" s="92"/>
      <c r="G892" s="92"/>
      <c r="H892" s="293"/>
      <c r="I892" s="293"/>
      <c r="J892" s="293"/>
      <c r="K892" s="175"/>
      <c r="L892" s="175"/>
      <c r="M892" s="49" t="s">
        <v>13</v>
      </c>
      <c r="N892" s="61"/>
      <c r="O892" s="273"/>
      <c r="P892" s="62"/>
      <c r="Q892" s="355"/>
      <c r="R892" s="319"/>
      <c r="S892" s="257"/>
      <c r="T892" s="268"/>
    </row>
    <row r="893" spans="1:20" s="269" customFormat="1" ht="10.199999999999999" x14ac:dyDescent="0.2">
      <c r="A893" s="71"/>
      <c r="B893" s="293"/>
      <c r="C893" s="293"/>
      <c r="D893" s="293"/>
      <c r="E893" s="293"/>
      <c r="F893" s="92"/>
      <c r="G893" s="92"/>
      <c r="H893" s="293"/>
      <c r="I893" s="293"/>
      <c r="J893" s="293"/>
      <c r="K893" s="175"/>
      <c r="L893" s="175"/>
      <c r="M893" s="49" t="s">
        <v>14</v>
      </c>
      <c r="N893" s="61"/>
      <c r="O893" s="273"/>
      <c r="P893" s="62"/>
      <c r="Q893" s="355"/>
      <c r="R893" s="319"/>
      <c r="S893" s="257"/>
      <c r="T893" s="268"/>
    </row>
    <row r="894" spans="1:20" s="244" customFormat="1" x14ac:dyDescent="0.3">
      <c r="A894" s="87"/>
      <c r="B894" s="289"/>
      <c r="C894" s="289"/>
      <c r="D894" s="289"/>
      <c r="E894" s="289"/>
      <c r="F894" s="78"/>
      <c r="G894" s="78"/>
      <c r="H894" s="289"/>
      <c r="I894" s="289"/>
      <c r="J894" s="289"/>
      <c r="K894" s="175"/>
      <c r="L894" s="175"/>
      <c r="M894" s="49" t="s">
        <v>533</v>
      </c>
      <c r="N894" s="111" t="s">
        <v>485</v>
      </c>
      <c r="O894" s="89"/>
      <c r="P894" s="89"/>
      <c r="Q894" s="355"/>
      <c r="R894" s="242"/>
      <c r="S894" s="257"/>
      <c r="T894" s="243"/>
    </row>
    <row r="895" spans="1:20" s="269" customFormat="1" ht="10.199999999999999" x14ac:dyDescent="0.2">
      <c r="A895" s="58">
        <f>A889+1</f>
        <v>140</v>
      </c>
      <c r="B895" s="95">
        <v>44774</v>
      </c>
      <c r="C895" s="95">
        <v>46599</v>
      </c>
      <c r="D895" s="58" t="s">
        <v>520</v>
      </c>
      <c r="E895" s="58" t="s">
        <v>368</v>
      </c>
      <c r="F895" s="58" t="s">
        <v>299</v>
      </c>
      <c r="G895" s="58" t="s">
        <v>257</v>
      </c>
      <c r="H895" s="58" t="s">
        <v>536</v>
      </c>
      <c r="I895" s="58" t="s">
        <v>258</v>
      </c>
      <c r="J895" s="58">
        <v>15.5</v>
      </c>
      <c r="K895" s="111">
        <f>S895*6</f>
        <v>6019.7039999999997</v>
      </c>
      <c r="L895" s="111">
        <f>S895*3</f>
        <v>3009.8519999999999</v>
      </c>
      <c r="M895" s="49" t="s">
        <v>10</v>
      </c>
      <c r="N895" s="79" t="s">
        <v>457</v>
      </c>
      <c r="O895" s="60"/>
      <c r="P895" s="58" t="s">
        <v>257</v>
      </c>
      <c r="Q895" s="193"/>
      <c r="R895" s="319"/>
      <c r="S895" s="257">
        <f>14.5*J895*1.2*(1+1.2+0.9)*1.2</f>
        <v>1003.2839999999999</v>
      </c>
      <c r="T895" s="268"/>
    </row>
    <row r="896" spans="1:20" s="269" customFormat="1" ht="20.399999999999999" x14ac:dyDescent="0.2">
      <c r="A896" s="71"/>
      <c r="B896" s="92"/>
      <c r="C896" s="293"/>
      <c r="D896" s="293"/>
      <c r="E896" s="293"/>
      <c r="F896" s="92"/>
      <c r="G896" s="293"/>
      <c r="H896" s="293"/>
      <c r="I896" s="293"/>
      <c r="J896" s="293"/>
      <c r="K896" s="175"/>
      <c r="L896" s="175"/>
      <c r="M896" s="49" t="s">
        <v>11</v>
      </c>
      <c r="N896" s="61"/>
      <c r="O896" s="62"/>
      <c r="P896" s="293"/>
      <c r="Q896" s="355"/>
      <c r="R896" s="319"/>
      <c r="S896" s="257"/>
      <c r="T896" s="268"/>
    </row>
    <row r="897" spans="1:20" s="269" customFormat="1" ht="10.199999999999999" x14ac:dyDescent="0.2">
      <c r="A897" s="71"/>
      <c r="B897" s="92"/>
      <c r="C897" s="293"/>
      <c r="D897" s="293"/>
      <c r="E897" s="293"/>
      <c r="F897" s="92"/>
      <c r="G897" s="293"/>
      <c r="H897" s="293"/>
      <c r="I897" s="293"/>
      <c r="J897" s="293"/>
      <c r="K897" s="175"/>
      <c r="L897" s="175"/>
      <c r="M897" s="49" t="s">
        <v>12</v>
      </c>
      <c r="N897" s="61"/>
      <c r="O897" s="62"/>
      <c r="P897" s="293"/>
      <c r="Q897" s="355"/>
      <c r="R897" s="319"/>
      <c r="S897" s="257"/>
      <c r="T897" s="268"/>
    </row>
    <row r="898" spans="1:20" s="269" customFormat="1" ht="10.199999999999999" x14ac:dyDescent="0.2">
      <c r="A898" s="71"/>
      <c r="B898" s="92"/>
      <c r="C898" s="293"/>
      <c r="D898" s="293"/>
      <c r="E898" s="293"/>
      <c r="F898" s="92"/>
      <c r="G898" s="293"/>
      <c r="H898" s="293"/>
      <c r="I898" s="293"/>
      <c r="J898" s="293"/>
      <c r="K898" s="175"/>
      <c r="L898" s="175"/>
      <c r="M898" s="49" t="s">
        <v>13</v>
      </c>
      <c r="N898" s="61"/>
      <c r="O898" s="62"/>
      <c r="P898" s="293"/>
      <c r="Q898" s="355"/>
      <c r="R898" s="319"/>
      <c r="S898" s="257"/>
      <c r="T898" s="268"/>
    </row>
    <row r="899" spans="1:20" s="269" customFormat="1" ht="10.199999999999999" x14ac:dyDescent="0.2">
      <c r="A899" s="71"/>
      <c r="B899" s="92"/>
      <c r="C899" s="293"/>
      <c r="D899" s="293"/>
      <c r="E899" s="293"/>
      <c r="F899" s="92"/>
      <c r="G899" s="293"/>
      <c r="H899" s="293"/>
      <c r="I899" s="293"/>
      <c r="J899" s="293"/>
      <c r="K899" s="175"/>
      <c r="L899" s="175"/>
      <c r="M899" s="49" t="s">
        <v>14</v>
      </c>
      <c r="N899" s="61"/>
      <c r="O899" s="62"/>
      <c r="P899" s="293"/>
      <c r="Q899" s="355"/>
      <c r="R899" s="319"/>
      <c r="S899" s="257"/>
      <c r="T899" s="268"/>
    </row>
    <row r="900" spans="1:20" s="244" customFormat="1" x14ac:dyDescent="0.3">
      <c r="A900" s="87"/>
      <c r="B900" s="78"/>
      <c r="C900" s="289"/>
      <c r="D900" s="289"/>
      <c r="E900" s="289"/>
      <c r="F900" s="78"/>
      <c r="G900" s="289"/>
      <c r="H900" s="289"/>
      <c r="I900" s="289"/>
      <c r="J900" s="289"/>
      <c r="K900" s="175"/>
      <c r="L900" s="175"/>
      <c r="M900" s="49" t="s">
        <v>533</v>
      </c>
      <c r="N900" s="217" t="s">
        <v>485</v>
      </c>
      <c r="O900" s="218"/>
      <c r="P900" s="289"/>
      <c r="Q900" s="355"/>
      <c r="R900" s="242"/>
      <c r="S900" s="257"/>
      <c r="T900" s="243"/>
    </row>
    <row r="901" spans="1:20" s="269" customFormat="1" ht="10.199999999999999" x14ac:dyDescent="0.2">
      <c r="A901" s="58">
        <f>A895+1</f>
        <v>141</v>
      </c>
      <c r="B901" s="95">
        <v>44774</v>
      </c>
      <c r="C901" s="95">
        <v>46599</v>
      </c>
      <c r="D901" s="58" t="s">
        <v>521</v>
      </c>
      <c r="E901" s="58" t="s">
        <v>368</v>
      </c>
      <c r="F901" s="58" t="s">
        <v>299</v>
      </c>
      <c r="G901" s="110" t="s">
        <v>259</v>
      </c>
      <c r="H901" s="58" t="s">
        <v>436</v>
      </c>
      <c r="I901" s="58" t="s">
        <v>260</v>
      </c>
      <c r="J901" s="58">
        <v>145</v>
      </c>
      <c r="K901" s="111">
        <f>S901*6</f>
        <v>56313.36</v>
      </c>
      <c r="L901" s="111">
        <f>S901*3</f>
        <v>28156.68</v>
      </c>
      <c r="M901" s="49" t="s">
        <v>10</v>
      </c>
      <c r="N901" s="79" t="s">
        <v>457</v>
      </c>
      <c r="O901" s="60"/>
      <c r="P901" s="110" t="s">
        <v>259</v>
      </c>
      <c r="Q901" s="58"/>
      <c r="R901" s="319"/>
      <c r="S901" s="257">
        <f>14.5*J901*1.2*(1+1.2+0.9)*1.2</f>
        <v>9385.56</v>
      </c>
      <c r="T901" s="268"/>
    </row>
    <row r="902" spans="1:20" s="269" customFormat="1" ht="20.399999999999999" x14ac:dyDescent="0.2">
      <c r="A902" s="71"/>
      <c r="B902" s="92"/>
      <c r="C902" s="293"/>
      <c r="D902" s="293"/>
      <c r="E902" s="293"/>
      <c r="F902" s="92"/>
      <c r="G902" s="92"/>
      <c r="H902" s="293"/>
      <c r="I902" s="293"/>
      <c r="J902" s="293"/>
      <c r="K902" s="175"/>
      <c r="L902" s="175"/>
      <c r="M902" s="49" t="s">
        <v>11</v>
      </c>
      <c r="N902" s="61"/>
      <c r="O902" s="62"/>
      <c r="P902" s="92"/>
      <c r="Q902" s="140"/>
      <c r="R902" s="319"/>
      <c r="S902" s="257"/>
      <c r="T902" s="268"/>
    </row>
    <row r="903" spans="1:20" s="269" customFormat="1" ht="10.199999999999999" x14ac:dyDescent="0.2">
      <c r="A903" s="71"/>
      <c r="B903" s="92"/>
      <c r="C903" s="293"/>
      <c r="D903" s="293"/>
      <c r="E903" s="293"/>
      <c r="F903" s="92"/>
      <c r="G903" s="92"/>
      <c r="H903" s="293"/>
      <c r="I903" s="293"/>
      <c r="J903" s="293"/>
      <c r="K903" s="175"/>
      <c r="L903" s="175"/>
      <c r="M903" s="49" t="s">
        <v>12</v>
      </c>
      <c r="N903" s="61"/>
      <c r="O903" s="62"/>
      <c r="P903" s="92"/>
      <c r="Q903" s="140"/>
      <c r="R903" s="319"/>
      <c r="S903" s="257"/>
      <c r="T903" s="268"/>
    </row>
    <row r="904" spans="1:20" s="269" customFormat="1" ht="10.199999999999999" x14ac:dyDescent="0.2">
      <c r="A904" s="71"/>
      <c r="B904" s="92"/>
      <c r="C904" s="293"/>
      <c r="D904" s="293"/>
      <c r="E904" s="293"/>
      <c r="F904" s="92"/>
      <c r="G904" s="92"/>
      <c r="H904" s="293"/>
      <c r="I904" s="293"/>
      <c r="J904" s="293"/>
      <c r="K904" s="175"/>
      <c r="L904" s="175"/>
      <c r="M904" s="49" t="s">
        <v>13</v>
      </c>
      <c r="N904" s="61"/>
      <c r="O904" s="62"/>
      <c r="P904" s="92"/>
      <c r="Q904" s="140"/>
      <c r="R904" s="319"/>
      <c r="S904" s="257"/>
      <c r="T904" s="268"/>
    </row>
    <row r="905" spans="1:20" s="269" customFormat="1" ht="10.199999999999999" x14ac:dyDescent="0.2">
      <c r="A905" s="71"/>
      <c r="B905" s="92"/>
      <c r="C905" s="293"/>
      <c r="D905" s="293"/>
      <c r="E905" s="293"/>
      <c r="F905" s="92"/>
      <c r="G905" s="92"/>
      <c r="H905" s="293"/>
      <c r="I905" s="293"/>
      <c r="J905" s="293"/>
      <c r="K905" s="175"/>
      <c r="L905" s="175"/>
      <c r="M905" s="49" t="s">
        <v>14</v>
      </c>
      <c r="N905" s="61"/>
      <c r="O905" s="62"/>
      <c r="P905" s="92"/>
      <c r="Q905" s="140"/>
      <c r="R905" s="319"/>
      <c r="S905" s="257"/>
      <c r="T905" s="268"/>
    </row>
    <row r="906" spans="1:20" s="244" customFormat="1" x14ac:dyDescent="0.3">
      <c r="A906" s="87"/>
      <c r="B906" s="78"/>
      <c r="C906" s="289"/>
      <c r="D906" s="289"/>
      <c r="E906" s="289"/>
      <c r="F906" s="78"/>
      <c r="G906" s="78"/>
      <c r="H906" s="289"/>
      <c r="I906" s="289"/>
      <c r="J906" s="289"/>
      <c r="K906" s="175"/>
      <c r="L906" s="175"/>
      <c r="M906" s="49" t="s">
        <v>533</v>
      </c>
      <c r="N906" s="217" t="s">
        <v>485</v>
      </c>
      <c r="O906" s="218"/>
      <c r="P906" s="78"/>
      <c r="Q906" s="141"/>
      <c r="R906" s="242"/>
      <c r="S906" s="257"/>
      <c r="T906" s="243"/>
    </row>
    <row r="907" spans="1:20" s="269" customFormat="1" ht="10.199999999999999" x14ac:dyDescent="0.2">
      <c r="A907" s="297"/>
      <c r="B907" s="195" t="s">
        <v>460</v>
      </c>
      <c r="C907" s="207"/>
      <c r="D907" s="207"/>
      <c r="E907" s="207"/>
      <c r="F907" s="207"/>
      <c r="G907" s="207"/>
      <c r="H907" s="207"/>
      <c r="I907" s="208"/>
      <c r="J907" s="67">
        <f>SUM(J841:J906)</f>
        <v>1902.1</v>
      </c>
      <c r="K907" s="67">
        <f>SUM(K841:K906)</f>
        <v>247837.43307304702</v>
      </c>
      <c r="L907" s="67">
        <f>SUM(L841:L906)</f>
        <v>123918.71653652351</v>
      </c>
      <c r="M907" s="7" t="s">
        <v>22</v>
      </c>
      <c r="N907" s="389">
        <f>N908+N909+N910+N911+N912+N913</f>
        <v>451.47999999999996</v>
      </c>
      <c r="O907" s="389">
        <f>O908+O909+O910+O911+O912+O913</f>
        <v>321.14999999999998</v>
      </c>
      <c r="P907" s="246"/>
      <c r="Q907" s="246"/>
      <c r="R907" s="319"/>
      <c r="S907" s="268"/>
      <c r="T907" s="268"/>
    </row>
    <row r="908" spans="1:20" s="269" customFormat="1" ht="10.199999999999999" x14ac:dyDescent="0.2">
      <c r="A908" s="374"/>
      <c r="B908" s="205"/>
      <c r="C908" s="209"/>
      <c r="D908" s="209"/>
      <c r="E908" s="209"/>
      <c r="F908" s="209"/>
      <c r="G908" s="209"/>
      <c r="H908" s="209"/>
      <c r="I908" s="210"/>
      <c r="J908" s="98"/>
      <c r="K908" s="98"/>
      <c r="L908" s="98"/>
      <c r="M908" s="10" t="s">
        <v>10</v>
      </c>
      <c r="N908" s="390">
        <f>N847+N871</f>
        <v>0</v>
      </c>
      <c r="O908" s="390">
        <f>O847+O871</f>
        <v>0</v>
      </c>
      <c r="P908" s="251"/>
      <c r="Q908" s="251"/>
      <c r="R908" s="319"/>
      <c r="S908" s="268"/>
      <c r="T908" s="268"/>
    </row>
    <row r="909" spans="1:20" s="269" customFormat="1" ht="20.399999999999999" x14ac:dyDescent="0.2">
      <c r="A909" s="374"/>
      <c r="B909" s="205"/>
      <c r="C909" s="209"/>
      <c r="D909" s="209"/>
      <c r="E909" s="209"/>
      <c r="F909" s="209"/>
      <c r="G909" s="209"/>
      <c r="H909" s="209"/>
      <c r="I909" s="210"/>
      <c r="J909" s="98"/>
      <c r="K909" s="98"/>
      <c r="L909" s="98"/>
      <c r="M909" s="10" t="s">
        <v>11</v>
      </c>
      <c r="N909" s="390">
        <f t="shared" ref="N909:O912" si="1">N872</f>
        <v>0</v>
      </c>
      <c r="O909" s="390">
        <f t="shared" si="1"/>
        <v>0</v>
      </c>
      <c r="P909" s="251"/>
      <c r="Q909" s="251"/>
      <c r="R909" s="319"/>
      <c r="S909" s="268"/>
      <c r="T909" s="268"/>
    </row>
    <row r="910" spans="1:20" s="269" customFormat="1" ht="10.199999999999999" x14ac:dyDescent="0.2">
      <c r="A910" s="374"/>
      <c r="B910" s="205"/>
      <c r="C910" s="209"/>
      <c r="D910" s="209"/>
      <c r="E910" s="209"/>
      <c r="F910" s="209"/>
      <c r="G910" s="209"/>
      <c r="H910" s="209"/>
      <c r="I910" s="210"/>
      <c r="J910" s="98"/>
      <c r="K910" s="98"/>
      <c r="L910" s="98"/>
      <c r="M910" s="10" t="s">
        <v>12</v>
      </c>
      <c r="N910" s="390">
        <f t="shared" si="1"/>
        <v>0</v>
      </c>
      <c r="O910" s="390">
        <f t="shared" si="1"/>
        <v>0</v>
      </c>
      <c r="P910" s="251"/>
      <c r="Q910" s="251"/>
      <c r="R910" s="319"/>
      <c r="S910" s="268"/>
      <c r="T910" s="268"/>
    </row>
    <row r="911" spans="1:20" s="269" customFormat="1" ht="10.199999999999999" x14ac:dyDescent="0.2">
      <c r="A911" s="374"/>
      <c r="B911" s="205"/>
      <c r="C911" s="209"/>
      <c r="D911" s="209"/>
      <c r="E911" s="209"/>
      <c r="F911" s="209"/>
      <c r="G911" s="209"/>
      <c r="H911" s="209"/>
      <c r="I911" s="210"/>
      <c r="J911" s="98"/>
      <c r="K911" s="98"/>
      <c r="L911" s="98"/>
      <c r="M911" s="10" t="s">
        <v>13</v>
      </c>
      <c r="N911" s="390">
        <f t="shared" si="1"/>
        <v>0</v>
      </c>
      <c r="O911" s="390">
        <f t="shared" si="1"/>
        <v>0</v>
      </c>
      <c r="P911" s="251"/>
      <c r="Q911" s="251"/>
      <c r="R911" s="319"/>
      <c r="S911" s="268"/>
      <c r="T911" s="268"/>
    </row>
    <row r="912" spans="1:20" s="269" customFormat="1" ht="10.199999999999999" x14ac:dyDescent="0.2">
      <c r="A912" s="374"/>
      <c r="B912" s="205"/>
      <c r="C912" s="209"/>
      <c r="D912" s="209"/>
      <c r="E912" s="209"/>
      <c r="F912" s="209"/>
      <c r="G912" s="209"/>
      <c r="H912" s="209"/>
      <c r="I912" s="210"/>
      <c r="J912" s="98"/>
      <c r="K912" s="98"/>
      <c r="L912" s="98"/>
      <c r="M912" s="10" t="s">
        <v>14</v>
      </c>
      <c r="N912" s="390">
        <f t="shared" si="1"/>
        <v>0</v>
      </c>
      <c r="O912" s="390">
        <f t="shared" si="1"/>
        <v>0</v>
      </c>
      <c r="P912" s="251"/>
      <c r="Q912" s="251"/>
      <c r="R912" s="319"/>
      <c r="S912" s="268"/>
      <c r="T912" s="268"/>
    </row>
    <row r="913" spans="1:20" s="269" customFormat="1" ht="10.199999999999999" x14ac:dyDescent="0.2">
      <c r="A913" s="375"/>
      <c r="B913" s="206"/>
      <c r="C913" s="211"/>
      <c r="D913" s="211"/>
      <c r="E913" s="211"/>
      <c r="F913" s="211"/>
      <c r="G913" s="211"/>
      <c r="H913" s="211"/>
      <c r="I913" s="212"/>
      <c r="J913" s="99"/>
      <c r="K913" s="99"/>
      <c r="L913" s="99"/>
      <c r="M913" s="10" t="s">
        <v>533</v>
      </c>
      <c r="N913" s="390">
        <f>N846+N852+N870+N876+N882</f>
        <v>451.47999999999996</v>
      </c>
      <c r="O913" s="390">
        <f>O846+O852+O870+O876+O882</f>
        <v>321.14999999999998</v>
      </c>
      <c r="P913" s="254"/>
      <c r="Q913" s="254"/>
      <c r="R913" s="319"/>
      <c r="S913" s="268"/>
      <c r="T913" s="268"/>
    </row>
    <row r="914" spans="1:20" s="269" customFormat="1" ht="10.199999999999999" x14ac:dyDescent="0.2">
      <c r="A914" s="297"/>
      <c r="B914" s="195" t="s">
        <v>19</v>
      </c>
      <c r="C914" s="207"/>
      <c r="D914" s="207"/>
      <c r="E914" s="207"/>
      <c r="F914" s="207"/>
      <c r="G914" s="207"/>
      <c r="H914" s="207"/>
      <c r="I914" s="208"/>
      <c r="J914" s="67">
        <f>J291+J557+J717+J833+J907</f>
        <v>33691.719999999987</v>
      </c>
      <c r="K914" s="67">
        <f>K291+K557+K717+K833+K907</f>
        <v>7528287.801060738</v>
      </c>
      <c r="L914" s="67">
        <f>L291+L557+L717+L833+L907</f>
        <v>3742764.0699547753</v>
      </c>
      <c r="M914" s="6" t="s">
        <v>22</v>
      </c>
      <c r="N914" s="407">
        <f>N915+N916+N917+N918+N919</f>
        <v>494607.87</v>
      </c>
      <c r="O914" s="407">
        <f>O915+O916+O917+O918+O919</f>
        <v>24973.16</v>
      </c>
      <c r="P914" s="246"/>
      <c r="Q914" s="246"/>
      <c r="R914" s="319"/>
      <c r="S914" s="268"/>
      <c r="T914" s="268"/>
    </row>
    <row r="915" spans="1:20" s="269" customFormat="1" ht="10.199999999999999" x14ac:dyDescent="0.2">
      <c r="A915" s="374"/>
      <c r="B915" s="205"/>
      <c r="C915" s="209"/>
      <c r="D915" s="209"/>
      <c r="E915" s="209"/>
      <c r="F915" s="209"/>
      <c r="G915" s="209"/>
      <c r="H915" s="209"/>
      <c r="I915" s="210"/>
      <c r="J915" s="92"/>
      <c r="K915" s="92"/>
      <c r="L915" s="92"/>
      <c r="M915" s="10" t="s">
        <v>10</v>
      </c>
      <c r="N915" s="24">
        <f>N292+N558+N718+N834+N908</f>
        <v>138030.85</v>
      </c>
      <c r="O915" s="24">
        <f>O292+O558+O718+O834+O908</f>
        <v>10714.019999999999</v>
      </c>
      <c r="P915" s="251"/>
      <c r="Q915" s="251"/>
      <c r="R915" s="319"/>
      <c r="S915" s="268"/>
      <c r="T915" s="268"/>
    </row>
    <row r="916" spans="1:20" s="269" customFormat="1" ht="20.399999999999999" x14ac:dyDescent="0.2">
      <c r="A916" s="374"/>
      <c r="B916" s="205"/>
      <c r="C916" s="209"/>
      <c r="D916" s="209"/>
      <c r="E916" s="209"/>
      <c r="F916" s="209"/>
      <c r="G916" s="209"/>
      <c r="H916" s="209"/>
      <c r="I916" s="210"/>
      <c r="J916" s="92"/>
      <c r="K916" s="92"/>
      <c r="L916" s="92"/>
      <c r="M916" s="10" t="s">
        <v>11</v>
      </c>
      <c r="N916" s="24">
        <f t="shared" ref="N916:O920" si="2">N293+N559+N719+N835+N909</f>
        <v>30141.309999999998</v>
      </c>
      <c r="O916" s="24">
        <f t="shared" si="2"/>
        <v>5776.68</v>
      </c>
      <c r="P916" s="251"/>
      <c r="Q916" s="251"/>
      <c r="R916" s="319"/>
      <c r="S916" s="268"/>
      <c r="T916" s="268"/>
    </row>
    <row r="917" spans="1:20" s="269" customFormat="1" ht="10.199999999999999" x14ac:dyDescent="0.2">
      <c r="A917" s="374"/>
      <c r="B917" s="205"/>
      <c r="C917" s="209"/>
      <c r="D917" s="209"/>
      <c r="E917" s="209"/>
      <c r="F917" s="209"/>
      <c r="G917" s="209"/>
      <c r="H917" s="209"/>
      <c r="I917" s="210"/>
      <c r="J917" s="92"/>
      <c r="K917" s="92"/>
      <c r="L917" s="92"/>
      <c r="M917" s="10" t="s">
        <v>12</v>
      </c>
      <c r="N917" s="24">
        <f t="shared" si="2"/>
        <v>2013.68</v>
      </c>
      <c r="O917" s="24">
        <f t="shared" si="2"/>
        <v>2013.68</v>
      </c>
      <c r="P917" s="251"/>
      <c r="Q917" s="251"/>
      <c r="R917" s="319"/>
      <c r="S917" s="268"/>
      <c r="T917" s="268"/>
    </row>
    <row r="918" spans="1:20" s="269" customFormat="1" ht="10.199999999999999" x14ac:dyDescent="0.2">
      <c r="A918" s="374"/>
      <c r="B918" s="205"/>
      <c r="C918" s="209"/>
      <c r="D918" s="209"/>
      <c r="E918" s="209"/>
      <c r="F918" s="209"/>
      <c r="G918" s="209"/>
      <c r="H918" s="209"/>
      <c r="I918" s="210"/>
      <c r="J918" s="92"/>
      <c r="K918" s="92"/>
      <c r="L918" s="92"/>
      <c r="M918" s="10" t="s">
        <v>13</v>
      </c>
      <c r="N918" s="24">
        <f t="shared" si="2"/>
        <v>315807.02</v>
      </c>
      <c r="O918" s="24">
        <f t="shared" si="2"/>
        <v>4418.4400000000005</v>
      </c>
      <c r="P918" s="251"/>
      <c r="Q918" s="251"/>
      <c r="R918" s="319"/>
      <c r="S918" s="268"/>
      <c r="T918" s="268"/>
    </row>
    <row r="919" spans="1:20" s="269" customFormat="1" ht="10.199999999999999" x14ac:dyDescent="0.2">
      <c r="A919" s="374"/>
      <c r="B919" s="205"/>
      <c r="C919" s="209"/>
      <c r="D919" s="209"/>
      <c r="E919" s="209"/>
      <c r="F919" s="209"/>
      <c r="G919" s="209"/>
      <c r="H919" s="209"/>
      <c r="I919" s="210"/>
      <c r="J919" s="92"/>
      <c r="K919" s="92"/>
      <c r="L919" s="92"/>
      <c r="M919" s="10" t="s">
        <v>14</v>
      </c>
      <c r="N919" s="24">
        <f t="shared" si="2"/>
        <v>8615.0099999999984</v>
      </c>
      <c r="O919" s="24">
        <f t="shared" si="2"/>
        <v>2050.34</v>
      </c>
      <c r="P919" s="251"/>
      <c r="Q919" s="251"/>
      <c r="R919" s="319"/>
      <c r="S919" s="268"/>
      <c r="T919" s="268"/>
    </row>
    <row r="920" spans="1:20" s="269" customFormat="1" ht="10.199999999999999" x14ac:dyDescent="0.2">
      <c r="A920" s="375"/>
      <c r="B920" s="206"/>
      <c r="C920" s="211"/>
      <c r="D920" s="211"/>
      <c r="E920" s="211"/>
      <c r="F920" s="211"/>
      <c r="G920" s="211"/>
      <c r="H920" s="211"/>
      <c r="I920" s="212"/>
      <c r="J920" s="78"/>
      <c r="K920" s="78"/>
      <c r="L920" s="78"/>
      <c r="M920" s="10" t="s">
        <v>533</v>
      </c>
      <c r="N920" s="24">
        <f t="shared" si="2"/>
        <v>65876.989999999991</v>
      </c>
      <c r="O920" s="24">
        <f t="shared" si="2"/>
        <v>17565.45</v>
      </c>
      <c r="P920" s="254"/>
      <c r="Q920" s="254"/>
      <c r="R920" s="319"/>
      <c r="S920" s="268"/>
      <c r="T920" s="268"/>
    </row>
    <row r="921" spans="1:20" s="244" customFormat="1" x14ac:dyDescent="0.3">
      <c r="A921" s="225"/>
      <c r="B921" s="225"/>
      <c r="C921" s="225"/>
      <c r="D921" s="225"/>
      <c r="E921" s="225"/>
      <c r="F921" s="225"/>
      <c r="G921" s="225"/>
      <c r="H921" s="225"/>
      <c r="I921" s="225"/>
      <c r="J921" s="225"/>
      <c r="K921" s="225"/>
      <c r="L921" s="225"/>
      <c r="M921" s="225"/>
      <c r="N921" s="225"/>
      <c r="O921" s="225"/>
      <c r="P921" s="225"/>
      <c r="Q921" s="225"/>
      <c r="S921" s="243"/>
      <c r="T921" s="243"/>
    </row>
    <row r="922" spans="1:20" s="244" customFormat="1" x14ac:dyDescent="0.3">
      <c r="A922" s="225"/>
      <c r="B922" s="225"/>
      <c r="C922" s="225"/>
      <c r="D922" s="225"/>
      <c r="E922" s="225"/>
      <c r="F922" s="225"/>
      <c r="G922" s="225"/>
      <c r="H922" s="225"/>
      <c r="I922" s="225"/>
      <c r="J922" s="408"/>
      <c r="K922" s="225"/>
      <c r="L922" s="225"/>
      <c r="M922" s="225"/>
      <c r="N922" s="408"/>
      <c r="O922" s="408"/>
      <c r="P922" s="225"/>
      <c r="Q922" s="225"/>
      <c r="S922" s="243"/>
      <c r="T922" s="243"/>
    </row>
    <row r="923" spans="1:20" s="244" customFormat="1" x14ac:dyDescent="0.3">
      <c r="A923" s="225"/>
      <c r="B923" s="225"/>
      <c r="C923" s="225"/>
      <c r="D923" s="225"/>
      <c r="E923" s="225"/>
      <c r="F923" s="225"/>
      <c r="G923" s="225"/>
      <c r="H923" s="225"/>
      <c r="I923" s="225"/>
      <c r="J923" s="408"/>
      <c r="K923" s="225"/>
      <c r="L923" s="225"/>
      <c r="M923" s="225"/>
      <c r="N923" s="225"/>
      <c r="O923" s="225"/>
      <c r="P923" s="225"/>
      <c r="Q923" s="225"/>
      <c r="S923" s="243"/>
      <c r="T923" s="243"/>
    </row>
    <row r="924" spans="1:20" s="244" customFormat="1" x14ac:dyDescent="0.3">
      <c r="A924" s="225"/>
      <c r="B924" s="225"/>
      <c r="C924" s="225"/>
      <c r="D924" s="225"/>
      <c r="E924" s="225"/>
      <c r="F924" s="225"/>
      <c r="G924" s="225"/>
      <c r="H924" s="225"/>
      <c r="I924" s="225"/>
      <c r="J924" s="225"/>
      <c r="K924" s="225"/>
      <c r="L924" s="225"/>
      <c r="M924" s="225"/>
      <c r="N924" s="225"/>
      <c r="O924" s="225"/>
      <c r="P924" s="225"/>
      <c r="Q924" s="225"/>
      <c r="S924" s="243"/>
      <c r="T924" s="243"/>
    </row>
    <row r="925" spans="1:20" s="244" customFormat="1" x14ac:dyDescent="0.3">
      <c r="A925" s="225"/>
      <c r="B925" s="225"/>
      <c r="C925" s="225"/>
      <c r="D925" s="225"/>
      <c r="E925" s="225"/>
      <c r="F925" s="225"/>
      <c r="G925" s="225"/>
      <c r="H925" s="225"/>
      <c r="I925" s="225"/>
      <c r="J925" s="225"/>
      <c r="K925" s="225"/>
      <c r="L925" s="225"/>
      <c r="M925" s="225"/>
      <c r="N925" s="225"/>
      <c r="O925" s="225"/>
      <c r="P925" s="225"/>
      <c r="Q925" s="225"/>
      <c r="S925" s="243"/>
      <c r="T925" s="243"/>
    </row>
    <row r="926" spans="1:20" s="244" customFormat="1" x14ac:dyDescent="0.3">
      <c r="A926" s="225"/>
      <c r="B926" s="225"/>
      <c r="C926" s="225"/>
      <c r="D926" s="225"/>
      <c r="E926" s="225"/>
      <c r="F926" s="225"/>
      <c r="G926" s="225"/>
      <c r="H926" s="408"/>
      <c r="I926" s="225"/>
      <c r="J926" s="225"/>
      <c r="K926" s="225"/>
      <c r="L926" s="225"/>
      <c r="M926" s="225"/>
      <c r="N926" s="225"/>
      <c r="O926" s="225"/>
      <c r="P926" s="225"/>
      <c r="Q926" s="225"/>
      <c r="S926" s="243"/>
      <c r="T926" s="243"/>
    </row>
    <row r="927" spans="1:20" s="244" customFormat="1" x14ac:dyDescent="0.3">
      <c r="A927" s="225"/>
      <c r="B927" s="225"/>
      <c r="C927" s="225"/>
      <c r="D927" s="225"/>
      <c r="E927" s="225"/>
      <c r="F927" s="225"/>
      <c r="G927" s="225"/>
      <c r="H927" s="225"/>
      <c r="I927" s="225"/>
      <c r="J927" s="225"/>
      <c r="K927" s="225"/>
      <c r="L927" s="225"/>
      <c r="M927" s="225"/>
      <c r="N927" s="225"/>
      <c r="O927" s="225"/>
      <c r="P927" s="225"/>
      <c r="Q927" s="225"/>
      <c r="S927" s="243"/>
      <c r="T927" s="243"/>
    </row>
    <row r="928" spans="1:20" s="244" customFormat="1" x14ac:dyDescent="0.3">
      <c r="A928" s="225"/>
      <c r="B928" s="225"/>
      <c r="C928" s="225"/>
      <c r="D928" s="225"/>
      <c r="E928" s="225"/>
      <c r="F928" s="225"/>
      <c r="G928" s="225"/>
      <c r="H928" s="225"/>
      <c r="I928" s="225"/>
      <c r="J928" s="225"/>
      <c r="K928" s="225"/>
      <c r="L928" s="225"/>
      <c r="M928" s="225"/>
      <c r="N928" s="225"/>
      <c r="O928" s="225"/>
      <c r="P928" s="225"/>
      <c r="Q928" s="225"/>
      <c r="S928" s="243"/>
      <c r="T928" s="243"/>
    </row>
    <row r="929" spans="1:20" s="244" customFormat="1" x14ac:dyDescent="0.3">
      <c r="A929" s="225"/>
      <c r="B929" s="225"/>
      <c r="C929" s="225"/>
      <c r="D929" s="225"/>
      <c r="E929" s="225"/>
      <c r="F929" s="225"/>
      <c r="G929" s="225"/>
      <c r="H929" s="225"/>
      <c r="I929" s="225"/>
      <c r="J929" s="225"/>
      <c r="K929" s="225"/>
      <c r="L929" s="225"/>
      <c r="M929" s="225"/>
      <c r="N929" s="225"/>
      <c r="O929" s="225"/>
      <c r="P929" s="225"/>
      <c r="Q929" s="225"/>
      <c r="S929" s="243"/>
      <c r="T929" s="243"/>
    </row>
    <row r="930" spans="1:20" s="244" customFormat="1" x14ac:dyDescent="0.3">
      <c r="A930" s="225"/>
      <c r="B930" s="225"/>
      <c r="C930" s="225"/>
      <c r="D930" s="225"/>
      <c r="E930" s="225"/>
      <c r="F930" s="225"/>
      <c r="G930" s="225"/>
      <c r="H930" s="225"/>
      <c r="I930" s="225"/>
      <c r="J930" s="225"/>
      <c r="K930" s="225"/>
      <c r="L930" s="225"/>
      <c r="M930" s="225"/>
      <c r="N930" s="225"/>
      <c r="O930" s="225"/>
      <c r="P930" s="225"/>
      <c r="Q930" s="225"/>
      <c r="S930" s="243"/>
      <c r="T930" s="243"/>
    </row>
    <row r="931" spans="1:20" s="244" customFormat="1" x14ac:dyDescent="0.3">
      <c r="A931" s="225"/>
      <c r="B931" s="225"/>
      <c r="C931" s="225"/>
      <c r="D931" s="225"/>
      <c r="E931" s="225"/>
      <c r="F931" s="225"/>
      <c r="G931" s="225"/>
      <c r="H931" s="225"/>
      <c r="I931" s="225"/>
      <c r="J931" s="225"/>
      <c r="K931" s="225"/>
      <c r="L931" s="225"/>
      <c r="M931" s="225"/>
      <c r="N931" s="225"/>
      <c r="O931" s="225"/>
      <c r="P931" s="225"/>
      <c r="Q931" s="225"/>
      <c r="S931" s="243"/>
      <c r="T931" s="243"/>
    </row>
    <row r="932" spans="1:20" s="244" customFormat="1" x14ac:dyDescent="0.3">
      <c r="A932" s="225"/>
      <c r="B932" s="225"/>
      <c r="C932" s="225"/>
      <c r="D932" s="225"/>
      <c r="E932" s="225"/>
      <c r="F932" s="225"/>
      <c r="G932" s="225"/>
      <c r="H932" s="225"/>
      <c r="I932" s="225"/>
      <c r="J932" s="225"/>
      <c r="K932" s="225"/>
      <c r="L932" s="225"/>
      <c r="M932" s="225"/>
      <c r="N932" s="225"/>
      <c r="O932" s="225"/>
      <c r="P932" s="225"/>
      <c r="Q932" s="225"/>
      <c r="S932" s="243"/>
      <c r="T932" s="243"/>
    </row>
    <row r="933" spans="1:20" s="244" customFormat="1" x14ac:dyDescent="0.3">
      <c r="A933" s="225"/>
      <c r="B933" s="225"/>
      <c r="C933" s="225"/>
      <c r="D933" s="225"/>
      <c r="E933" s="225"/>
      <c r="F933" s="225"/>
      <c r="G933" s="225"/>
      <c r="H933" s="225"/>
      <c r="I933" s="225"/>
      <c r="J933" s="225"/>
      <c r="K933" s="225"/>
      <c r="L933" s="225"/>
      <c r="M933" s="225"/>
      <c r="N933" s="225"/>
      <c r="O933" s="225"/>
      <c r="P933" s="225"/>
      <c r="Q933" s="225"/>
      <c r="S933" s="243"/>
      <c r="T933" s="243"/>
    </row>
    <row r="934" spans="1:20" s="244" customFormat="1" x14ac:dyDescent="0.3">
      <c r="A934" s="225"/>
      <c r="B934" s="225"/>
      <c r="C934" s="225"/>
      <c r="D934" s="225"/>
      <c r="E934" s="225"/>
      <c r="F934" s="225"/>
      <c r="G934" s="225"/>
      <c r="H934" s="225"/>
      <c r="I934" s="225"/>
      <c r="J934" s="225"/>
      <c r="K934" s="225"/>
      <c r="L934" s="225"/>
      <c r="M934" s="225"/>
      <c r="N934" s="225"/>
      <c r="O934" s="225"/>
      <c r="P934" s="225"/>
      <c r="Q934" s="225"/>
      <c r="S934" s="243"/>
      <c r="T934" s="243"/>
    </row>
    <row r="935" spans="1:20" s="269" customFormat="1" ht="13.2" x14ac:dyDescent="0.25">
      <c r="A935" s="225"/>
      <c r="B935" s="225"/>
      <c r="C935" s="225"/>
      <c r="D935" s="225"/>
      <c r="E935" s="225"/>
      <c r="F935" s="225"/>
      <c r="G935" s="225"/>
      <c r="H935" s="225"/>
      <c r="I935" s="225"/>
      <c r="J935" s="225"/>
      <c r="K935" s="225"/>
      <c r="L935" s="225"/>
      <c r="M935" s="225"/>
      <c r="N935" s="225"/>
      <c r="O935" s="225"/>
      <c r="P935" s="225"/>
      <c r="Q935" s="409"/>
      <c r="S935" s="268"/>
      <c r="T935" s="268"/>
    </row>
    <row r="936" spans="1:20" s="269" customFormat="1" ht="10.199999999999999" x14ac:dyDescent="0.2">
      <c r="A936" s="409"/>
      <c r="B936" s="409"/>
      <c r="C936" s="409"/>
      <c r="D936" s="409"/>
      <c r="E936" s="409"/>
      <c r="F936" s="409"/>
      <c r="G936" s="409"/>
      <c r="H936" s="409"/>
      <c r="I936" s="409"/>
      <c r="J936" s="409"/>
      <c r="K936" s="409"/>
      <c r="L936" s="409"/>
      <c r="M936" s="409"/>
      <c r="N936" s="409"/>
      <c r="O936" s="409"/>
      <c r="P936" s="409"/>
      <c r="Q936" s="409"/>
      <c r="S936" s="268"/>
      <c r="T936" s="268"/>
    </row>
    <row r="937" spans="1:20" s="269" customFormat="1" ht="10.199999999999999" x14ac:dyDescent="0.2">
      <c r="A937" s="409"/>
      <c r="B937" s="409"/>
      <c r="C937" s="409"/>
      <c r="D937" s="409"/>
      <c r="E937" s="409"/>
      <c r="F937" s="409"/>
      <c r="G937" s="409"/>
      <c r="H937" s="409"/>
      <c r="I937" s="409"/>
      <c r="J937" s="409"/>
      <c r="K937" s="409"/>
      <c r="L937" s="409"/>
      <c r="M937" s="409"/>
      <c r="N937" s="409"/>
      <c r="O937" s="409"/>
      <c r="P937" s="409"/>
      <c r="Q937" s="409"/>
      <c r="S937" s="268"/>
      <c r="T937" s="268"/>
    </row>
    <row r="938" spans="1:20" s="269" customFormat="1" ht="10.199999999999999" x14ac:dyDescent="0.2">
      <c r="A938" s="409"/>
      <c r="B938" s="409"/>
      <c r="C938" s="409"/>
      <c r="D938" s="409"/>
      <c r="E938" s="409"/>
      <c r="F938" s="409"/>
      <c r="G938" s="409"/>
      <c r="H938" s="409"/>
      <c r="I938" s="409"/>
      <c r="J938" s="409"/>
      <c r="K938" s="409"/>
      <c r="L938" s="409"/>
      <c r="M938" s="409"/>
      <c r="N938" s="409"/>
      <c r="O938" s="409"/>
      <c r="P938" s="409"/>
      <c r="Q938" s="409"/>
      <c r="S938" s="268"/>
      <c r="T938" s="268"/>
    </row>
    <row r="939" spans="1:20" s="269" customFormat="1" ht="10.199999999999999" x14ac:dyDescent="0.2">
      <c r="A939" s="409"/>
      <c r="B939" s="409"/>
      <c r="C939" s="409"/>
      <c r="D939" s="409"/>
      <c r="E939" s="409"/>
      <c r="F939" s="409"/>
      <c r="G939" s="409"/>
      <c r="H939" s="409"/>
      <c r="I939" s="409"/>
      <c r="J939" s="409"/>
      <c r="K939" s="409"/>
      <c r="L939" s="409"/>
      <c r="M939" s="409"/>
      <c r="N939" s="409"/>
      <c r="O939" s="409"/>
      <c r="P939" s="409"/>
      <c r="Q939" s="409"/>
      <c r="S939" s="268"/>
      <c r="T939" s="268"/>
    </row>
    <row r="940" spans="1:20" s="269" customFormat="1" ht="10.199999999999999" x14ac:dyDescent="0.2">
      <c r="A940" s="409"/>
      <c r="B940" s="409"/>
      <c r="C940" s="409"/>
      <c r="D940" s="409"/>
      <c r="E940" s="409"/>
      <c r="F940" s="409"/>
      <c r="G940" s="409"/>
      <c r="H940" s="409"/>
      <c r="I940" s="409"/>
      <c r="J940" s="409"/>
      <c r="K940" s="409"/>
      <c r="L940" s="409"/>
      <c r="M940" s="409"/>
      <c r="N940" s="409"/>
      <c r="O940" s="409"/>
      <c r="P940" s="409"/>
      <c r="Q940" s="409"/>
      <c r="S940" s="268"/>
      <c r="T940" s="268"/>
    </row>
    <row r="941" spans="1:20" s="269" customFormat="1" ht="10.199999999999999" x14ac:dyDescent="0.2">
      <c r="A941" s="409"/>
      <c r="B941" s="409"/>
      <c r="C941" s="409"/>
      <c r="D941" s="409"/>
      <c r="E941" s="409"/>
      <c r="F941" s="409"/>
      <c r="G941" s="409"/>
      <c r="H941" s="409"/>
      <c r="I941" s="409"/>
      <c r="J941" s="409"/>
      <c r="K941" s="409"/>
      <c r="L941" s="409"/>
      <c r="M941" s="409"/>
      <c r="N941" s="409"/>
      <c r="O941" s="409"/>
      <c r="P941" s="409"/>
      <c r="Q941" s="409"/>
      <c r="S941" s="268"/>
      <c r="T941" s="268"/>
    </row>
    <row r="942" spans="1:20" s="269" customFormat="1" ht="10.199999999999999" x14ac:dyDescent="0.2">
      <c r="A942" s="409"/>
      <c r="B942" s="409"/>
      <c r="C942" s="409"/>
      <c r="D942" s="409"/>
      <c r="E942" s="409"/>
      <c r="F942" s="409"/>
      <c r="G942" s="409"/>
      <c r="H942" s="409"/>
      <c r="I942" s="409"/>
      <c r="J942" s="409"/>
      <c r="K942" s="409"/>
      <c r="L942" s="409"/>
      <c r="M942" s="409"/>
      <c r="N942" s="409"/>
      <c r="O942" s="409"/>
      <c r="P942" s="409"/>
      <c r="Q942" s="409"/>
      <c r="S942" s="268"/>
      <c r="T942" s="268"/>
    </row>
    <row r="943" spans="1:20" s="269" customFormat="1" ht="10.199999999999999" x14ac:dyDescent="0.2">
      <c r="A943" s="409"/>
      <c r="B943" s="409"/>
      <c r="C943" s="409"/>
      <c r="D943" s="409"/>
      <c r="E943" s="409"/>
      <c r="F943" s="409"/>
      <c r="G943" s="409"/>
      <c r="H943" s="409"/>
      <c r="I943" s="409"/>
      <c r="J943" s="409"/>
      <c r="K943" s="409"/>
      <c r="L943" s="409"/>
      <c r="M943" s="409"/>
      <c r="N943" s="409"/>
      <c r="O943" s="409"/>
      <c r="P943" s="409"/>
      <c r="Q943" s="409"/>
      <c r="S943" s="268"/>
      <c r="T943" s="268"/>
    </row>
    <row r="944" spans="1:20" s="269" customFormat="1" ht="10.199999999999999" x14ac:dyDescent="0.2">
      <c r="A944" s="409"/>
      <c r="B944" s="409"/>
      <c r="C944" s="409"/>
      <c r="D944" s="409"/>
      <c r="E944" s="409"/>
      <c r="F944" s="409"/>
      <c r="G944" s="409"/>
      <c r="H944" s="409"/>
      <c r="I944" s="409"/>
      <c r="J944" s="409"/>
      <c r="K944" s="409"/>
      <c r="L944" s="409"/>
      <c r="M944" s="409"/>
      <c r="N944" s="409"/>
      <c r="O944" s="409"/>
      <c r="P944" s="409"/>
      <c r="Q944" s="409"/>
      <c r="S944" s="268"/>
      <c r="T944" s="268"/>
    </row>
    <row r="945" spans="1:20" s="269" customFormat="1" ht="10.199999999999999" x14ac:dyDescent="0.2">
      <c r="A945" s="409"/>
      <c r="B945" s="409"/>
      <c r="C945" s="409"/>
      <c r="D945" s="409"/>
      <c r="E945" s="409"/>
      <c r="F945" s="409"/>
      <c r="G945" s="409"/>
      <c r="H945" s="409"/>
      <c r="I945" s="409"/>
      <c r="J945" s="409"/>
      <c r="K945" s="409"/>
      <c r="L945" s="409"/>
      <c r="M945" s="409"/>
      <c r="N945" s="409"/>
      <c r="O945" s="409"/>
      <c r="P945" s="409"/>
      <c r="Q945" s="409"/>
      <c r="S945" s="268"/>
      <c r="T945" s="268"/>
    </row>
    <row r="946" spans="1:20" s="269" customFormat="1" ht="10.199999999999999" x14ac:dyDescent="0.2">
      <c r="A946" s="409"/>
      <c r="B946" s="409"/>
      <c r="C946" s="409"/>
      <c r="D946" s="409"/>
      <c r="E946" s="409"/>
      <c r="F946" s="409"/>
      <c r="G946" s="409"/>
      <c r="H946" s="409"/>
      <c r="I946" s="409"/>
      <c r="J946" s="409"/>
      <c r="K946" s="409"/>
      <c r="L946" s="409"/>
      <c r="M946" s="409"/>
      <c r="N946" s="409"/>
      <c r="O946" s="409"/>
      <c r="P946" s="409"/>
      <c r="Q946" s="409"/>
      <c r="S946" s="268"/>
      <c r="T946" s="268"/>
    </row>
    <row r="947" spans="1:20" s="269" customFormat="1" ht="10.199999999999999" x14ac:dyDescent="0.2">
      <c r="A947" s="409"/>
      <c r="B947" s="409"/>
      <c r="C947" s="409"/>
      <c r="D947" s="409"/>
      <c r="E947" s="409"/>
      <c r="F947" s="409"/>
      <c r="G947" s="409"/>
      <c r="H947" s="409"/>
      <c r="I947" s="409"/>
      <c r="J947" s="409"/>
      <c r="K947" s="409"/>
      <c r="L947" s="409"/>
      <c r="M947" s="409"/>
      <c r="N947" s="409"/>
      <c r="O947" s="409"/>
      <c r="P947" s="409"/>
      <c r="Q947" s="409"/>
      <c r="S947" s="268"/>
      <c r="T947" s="268"/>
    </row>
    <row r="948" spans="1:20" s="269" customFormat="1" ht="10.199999999999999" x14ac:dyDescent="0.2">
      <c r="A948" s="409"/>
      <c r="B948" s="409"/>
      <c r="C948" s="409"/>
      <c r="D948" s="409"/>
      <c r="E948" s="409"/>
      <c r="F948" s="409"/>
      <c r="G948" s="409"/>
      <c r="H948" s="409"/>
      <c r="I948" s="409"/>
      <c r="J948" s="409"/>
      <c r="K948" s="409"/>
      <c r="L948" s="409"/>
      <c r="M948" s="409"/>
      <c r="N948" s="409"/>
      <c r="O948" s="409"/>
      <c r="P948" s="409"/>
      <c r="Q948" s="409"/>
      <c r="S948" s="268"/>
      <c r="T948" s="268"/>
    </row>
    <row r="949" spans="1:20" s="269" customFormat="1" ht="10.199999999999999" x14ac:dyDescent="0.2">
      <c r="A949" s="409"/>
      <c r="B949" s="409"/>
      <c r="C949" s="409"/>
      <c r="D949" s="409"/>
      <c r="E949" s="409"/>
      <c r="F949" s="409"/>
      <c r="G949" s="409"/>
      <c r="H949" s="409"/>
      <c r="I949" s="409"/>
      <c r="J949" s="409"/>
      <c r="K949" s="409"/>
      <c r="L949" s="409"/>
      <c r="M949" s="409"/>
      <c r="N949" s="409"/>
      <c r="O949" s="409"/>
      <c r="P949" s="409"/>
      <c r="Q949" s="409"/>
      <c r="S949" s="268"/>
      <c r="T949" s="268"/>
    </row>
    <row r="950" spans="1:20" s="269" customFormat="1" ht="10.199999999999999" x14ac:dyDescent="0.2">
      <c r="A950" s="409"/>
      <c r="B950" s="409"/>
      <c r="C950" s="409"/>
      <c r="D950" s="409"/>
      <c r="E950" s="409"/>
      <c r="F950" s="409"/>
      <c r="G950" s="409"/>
      <c r="H950" s="409"/>
      <c r="I950" s="409"/>
      <c r="J950" s="409"/>
      <c r="K950" s="409"/>
      <c r="L950" s="409"/>
      <c r="M950" s="409"/>
      <c r="N950" s="409"/>
      <c r="O950" s="409"/>
      <c r="P950" s="409"/>
      <c r="Q950" s="409"/>
      <c r="S950" s="268"/>
      <c r="T950" s="268"/>
    </row>
    <row r="951" spans="1:20" s="269" customFormat="1" ht="10.199999999999999" x14ac:dyDescent="0.2">
      <c r="A951" s="409"/>
      <c r="B951" s="409"/>
      <c r="C951" s="409"/>
      <c r="D951" s="409"/>
      <c r="E951" s="409"/>
      <c r="F951" s="409"/>
      <c r="G951" s="409"/>
      <c r="H951" s="409"/>
      <c r="I951" s="409"/>
      <c r="J951" s="409"/>
      <c r="K951" s="409"/>
      <c r="L951" s="409"/>
      <c r="M951" s="409"/>
      <c r="N951" s="409"/>
      <c r="O951" s="409"/>
      <c r="P951" s="409"/>
      <c r="Q951" s="409"/>
      <c r="S951" s="268"/>
      <c r="T951" s="268"/>
    </row>
    <row r="952" spans="1:20" s="269" customFormat="1" ht="10.199999999999999" x14ac:dyDescent="0.2">
      <c r="A952" s="409"/>
      <c r="B952" s="409"/>
      <c r="C952" s="409"/>
      <c r="D952" s="409"/>
      <c r="E952" s="409"/>
      <c r="F952" s="409"/>
      <c r="G952" s="409"/>
      <c r="H952" s="409"/>
      <c r="I952" s="409"/>
      <c r="J952" s="409"/>
      <c r="K952" s="409"/>
      <c r="L952" s="409"/>
      <c r="M952" s="409"/>
      <c r="N952" s="409"/>
      <c r="O952" s="409"/>
      <c r="P952" s="409"/>
      <c r="Q952" s="409"/>
      <c r="S952" s="268"/>
      <c r="T952" s="268"/>
    </row>
    <row r="953" spans="1:20" s="269" customFormat="1" ht="10.199999999999999" x14ac:dyDescent="0.2">
      <c r="A953" s="409"/>
      <c r="B953" s="409"/>
      <c r="C953" s="409"/>
      <c r="D953" s="409"/>
      <c r="E953" s="409"/>
      <c r="F953" s="409"/>
      <c r="G953" s="409"/>
      <c r="H953" s="409"/>
      <c r="I953" s="409"/>
      <c r="J953" s="409"/>
      <c r="K953" s="409"/>
      <c r="L953" s="409"/>
      <c r="M953" s="409"/>
      <c r="N953" s="409"/>
      <c r="O953" s="409"/>
      <c r="P953" s="409"/>
      <c r="Q953" s="409"/>
      <c r="S953" s="268"/>
      <c r="T953" s="268"/>
    </row>
    <row r="954" spans="1:20" s="269" customFormat="1" ht="10.199999999999999" x14ac:dyDescent="0.2">
      <c r="A954" s="409"/>
      <c r="B954" s="409"/>
      <c r="C954" s="409"/>
      <c r="D954" s="409"/>
      <c r="E954" s="409"/>
      <c r="F954" s="409"/>
      <c r="G954" s="409"/>
      <c r="H954" s="409"/>
      <c r="I954" s="409"/>
      <c r="J954" s="409"/>
      <c r="K954" s="409"/>
      <c r="L954" s="409"/>
      <c r="M954" s="409"/>
      <c r="N954" s="409"/>
      <c r="O954" s="409"/>
      <c r="P954" s="409"/>
      <c r="Q954" s="409"/>
      <c r="S954" s="268"/>
      <c r="T954" s="268"/>
    </row>
    <row r="955" spans="1:20" s="269" customFormat="1" ht="10.199999999999999" x14ac:dyDescent="0.2">
      <c r="A955" s="409"/>
      <c r="B955" s="409"/>
      <c r="C955" s="409"/>
      <c r="D955" s="409"/>
      <c r="E955" s="409"/>
      <c r="F955" s="409"/>
      <c r="G955" s="409"/>
      <c r="H955" s="409"/>
      <c r="I955" s="409"/>
      <c r="J955" s="409"/>
      <c r="K955" s="409"/>
      <c r="L955" s="409"/>
      <c r="M955" s="409"/>
      <c r="N955" s="409"/>
      <c r="O955" s="409"/>
      <c r="P955" s="409"/>
      <c r="Q955" s="409"/>
      <c r="S955" s="268"/>
      <c r="T955" s="268"/>
    </row>
    <row r="956" spans="1:20" s="269" customFormat="1" ht="10.199999999999999" x14ac:dyDescent="0.2">
      <c r="A956" s="409"/>
      <c r="B956" s="409"/>
      <c r="C956" s="409"/>
      <c r="D956" s="409"/>
      <c r="E956" s="409"/>
      <c r="F956" s="409"/>
      <c r="G956" s="409"/>
      <c r="H956" s="409"/>
      <c r="I956" s="409"/>
      <c r="J956" s="409"/>
      <c r="K956" s="409"/>
      <c r="L956" s="409"/>
      <c r="M956" s="409"/>
      <c r="N956" s="409"/>
      <c r="O956" s="409"/>
      <c r="P956" s="409"/>
      <c r="Q956" s="409"/>
      <c r="S956" s="268"/>
      <c r="T956" s="268"/>
    </row>
    <row r="957" spans="1:20" s="269" customFormat="1" ht="10.199999999999999" x14ac:dyDescent="0.2">
      <c r="A957" s="409"/>
      <c r="B957" s="409"/>
      <c r="C957" s="409"/>
      <c r="D957" s="409"/>
      <c r="E957" s="409"/>
      <c r="F957" s="409"/>
      <c r="G957" s="409"/>
      <c r="H957" s="409"/>
      <c r="I957" s="409"/>
      <c r="J957" s="409"/>
      <c r="K957" s="409"/>
      <c r="L957" s="409"/>
      <c r="M957" s="409"/>
      <c r="N957" s="409"/>
      <c r="O957" s="409"/>
      <c r="P957" s="409"/>
      <c r="Q957" s="409"/>
      <c r="S957" s="268"/>
      <c r="T957" s="268"/>
    </row>
    <row r="958" spans="1:20" s="269" customFormat="1" ht="10.199999999999999" x14ac:dyDescent="0.2">
      <c r="A958" s="409"/>
      <c r="B958" s="409"/>
      <c r="C958" s="409"/>
      <c r="D958" s="409"/>
      <c r="E958" s="409"/>
      <c r="F958" s="409"/>
      <c r="G958" s="409"/>
      <c r="H958" s="409"/>
      <c r="I958" s="409"/>
      <c r="J958" s="409"/>
      <c r="K958" s="409"/>
      <c r="L958" s="409"/>
      <c r="M958" s="409"/>
      <c r="N958" s="409"/>
      <c r="O958" s="409"/>
      <c r="P958" s="409"/>
      <c r="Q958" s="409"/>
      <c r="S958" s="268"/>
      <c r="T958" s="268"/>
    </row>
    <row r="959" spans="1:20" s="269" customFormat="1" ht="10.199999999999999" x14ac:dyDescent="0.2">
      <c r="A959" s="409"/>
      <c r="B959" s="409"/>
      <c r="C959" s="409"/>
      <c r="D959" s="409"/>
      <c r="E959" s="409"/>
      <c r="F959" s="409"/>
      <c r="G959" s="409"/>
      <c r="H959" s="409"/>
      <c r="I959" s="409"/>
      <c r="J959" s="409"/>
      <c r="K959" s="409"/>
      <c r="L959" s="409"/>
      <c r="M959" s="409"/>
      <c r="N959" s="409"/>
      <c r="O959" s="409"/>
      <c r="P959" s="409"/>
      <c r="Q959" s="409"/>
      <c r="S959" s="268"/>
      <c r="T959" s="268"/>
    </row>
    <row r="960" spans="1:20" s="269" customFormat="1" ht="14.4" customHeight="1" x14ac:dyDescent="0.2">
      <c r="A960" s="409"/>
      <c r="B960" s="409"/>
      <c r="C960" s="409"/>
      <c r="D960" s="409"/>
      <c r="E960" s="409"/>
      <c r="F960" s="409"/>
      <c r="G960" s="409"/>
      <c r="H960" s="409"/>
      <c r="I960" s="409"/>
      <c r="J960" s="409"/>
      <c r="K960" s="409"/>
      <c r="L960" s="409"/>
      <c r="M960" s="409"/>
      <c r="N960" s="409"/>
      <c r="O960" s="409"/>
      <c r="P960" s="409"/>
      <c r="Q960" s="409"/>
      <c r="S960" s="268"/>
      <c r="T960" s="268"/>
    </row>
    <row r="961" spans="1:20" s="269" customFormat="1" ht="14.4" customHeight="1" x14ac:dyDescent="0.2">
      <c r="A961" s="409"/>
      <c r="B961" s="409"/>
      <c r="C961" s="409"/>
      <c r="D961" s="409"/>
      <c r="E961" s="409"/>
      <c r="F961" s="409"/>
      <c r="G961" s="409"/>
      <c r="H961" s="409"/>
      <c r="I961" s="409"/>
      <c r="J961" s="409"/>
      <c r="K961" s="409"/>
      <c r="L961" s="409"/>
      <c r="M961" s="409"/>
      <c r="N961" s="409"/>
      <c r="O961" s="409"/>
      <c r="P961" s="409"/>
      <c r="Q961" s="409"/>
      <c r="S961" s="268"/>
      <c r="T961" s="268"/>
    </row>
    <row r="962" spans="1:20" s="269" customFormat="1" ht="14.4" customHeight="1" x14ac:dyDescent="0.2">
      <c r="A962" s="409"/>
      <c r="B962" s="409"/>
      <c r="C962" s="409"/>
      <c r="D962" s="409"/>
      <c r="E962" s="409"/>
      <c r="F962" s="409"/>
      <c r="G962" s="409"/>
      <c r="H962" s="409"/>
      <c r="I962" s="409"/>
      <c r="J962" s="409"/>
      <c r="K962" s="409"/>
      <c r="L962" s="409"/>
      <c r="M962" s="409"/>
      <c r="N962" s="409"/>
      <c r="O962" s="409"/>
      <c r="P962" s="409"/>
      <c r="Q962" s="409"/>
      <c r="S962" s="268"/>
      <c r="T962" s="268"/>
    </row>
    <row r="963" spans="1:20" s="269" customFormat="1" ht="14.4" customHeight="1" x14ac:dyDescent="0.2">
      <c r="A963" s="409"/>
      <c r="B963" s="409"/>
      <c r="C963" s="409"/>
      <c r="D963" s="409"/>
      <c r="E963" s="409"/>
      <c r="F963" s="409"/>
      <c r="G963" s="409"/>
      <c r="H963" s="409"/>
      <c r="I963" s="409"/>
      <c r="J963" s="409"/>
      <c r="K963" s="409"/>
      <c r="L963" s="409"/>
      <c r="M963" s="409"/>
      <c r="N963" s="409"/>
      <c r="O963" s="409"/>
      <c r="P963" s="409"/>
      <c r="Q963" s="409"/>
      <c r="S963" s="268"/>
      <c r="T963" s="268"/>
    </row>
    <row r="964" spans="1:20" s="269" customFormat="1" ht="14.4" customHeight="1" x14ac:dyDescent="0.2">
      <c r="A964" s="409"/>
      <c r="B964" s="409"/>
      <c r="C964" s="409"/>
      <c r="D964" s="409"/>
      <c r="E964" s="409"/>
      <c r="F964" s="409"/>
      <c r="G964" s="409"/>
      <c r="H964" s="409"/>
      <c r="I964" s="409"/>
      <c r="J964" s="409"/>
      <c r="K964" s="409"/>
      <c r="L964" s="409"/>
      <c r="M964" s="409"/>
      <c r="N964" s="409"/>
      <c r="O964" s="409"/>
      <c r="P964" s="409"/>
      <c r="Q964" s="409"/>
      <c r="S964" s="268"/>
      <c r="T964" s="268"/>
    </row>
    <row r="965" spans="1:20" s="269" customFormat="1" ht="14.4" customHeight="1" x14ac:dyDescent="0.2">
      <c r="A965" s="409"/>
      <c r="B965" s="409"/>
      <c r="C965" s="409"/>
      <c r="D965" s="409"/>
      <c r="E965" s="409"/>
      <c r="F965" s="409"/>
      <c r="G965" s="409"/>
      <c r="H965" s="409"/>
      <c r="I965" s="409"/>
      <c r="J965" s="409"/>
      <c r="K965" s="409"/>
      <c r="L965" s="409"/>
      <c r="M965" s="409"/>
      <c r="N965" s="409"/>
      <c r="O965" s="409"/>
      <c r="P965" s="409"/>
      <c r="Q965" s="409"/>
      <c r="S965" s="268"/>
      <c r="T965" s="268"/>
    </row>
    <row r="966" spans="1:20" s="269" customFormat="1" ht="14.4" customHeight="1" x14ac:dyDescent="0.2">
      <c r="A966" s="409"/>
      <c r="B966" s="409"/>
      <c r="C966" s="409"/>
      <c r="D966" s="409"/>
      <c r="E966" s="409"/>
      <c r="F966" s="409"/>
      <c r="G966" s="409"/>
      <c r="H966" s="409"/>
      <c r="I966" s="409"/>
      <c r="J966" s="409"/>
      <c r="K966" s="409"/>
      <c r="L966" s="409"/>
      <c r="M966" s="409"/>
      <c r="N966" s="409"/>
      <c r="O966" s="409"/>
      <c r="P966" s="409"/>
      <c r="Q966" s="409"/>
      <c r="S966" s="268"/>
      <c r="T966" s="268"/>
    </row>
    <row r="967" spans="1:20" s="269" customFormat="1" ht="14.4" customHeight="1" x14ac:dyDescent="0.2">
      <c r="A967" s="409"/>
      <c r="B967" s="409"/>
      <c r="C967" s="409"/>
      <c r="D967" s="409"/>
      <c r="E967" s="409"/>
      <c r="F967" s="409"/>
      <c r="G967" s="409"/>
      <c r="H967" s="409"/>
      <c r="I967" s="409"/>
      <c r="J967" s="409"/>
      <c r="K967" s="409"/>
      <c r="L967" s="409"/>
      <c r="M967" s="409"/>
      <c r="N967" s="409"/>
      <c r="O967" s="409"/>
      <c r="P967" s="409"/>
      <c r="Q967" s="409"/>
      <c r="S967" s="268"/>
      <c r="T967" s="268"/>
    </row>
    <row r="968" spans="1:20" s="269" customFormat="1" ht="14.4" customHeight="1" x14ac:dyDescent="0.2">
      <c r="A968" s="409"/>
      <c r="B968" s="409"/>
      <c r="C968" s="409"/>
      <c r="D968" s="409"/>
      <c r="E968" s="409"/>
      <c r="F968" s="409"/>
      <c r="G968" s="409"/>
      <c r="H968" s="409"/>
      <c r="I968" s="409"/>
      <c r="J968" s="409"/>
      <c r="K968" s="409"/>
      <c r="L968" s="409"/>
      <c r="M968" s="409"/>
      <c r="N968" s="409"/>
      <c r="O968" s="409"/>
      <c r="P968" s="409"/>
      <c r="Q968" s="409"/>
      <c r="S968" s="268"/>
      <c r="T968" s="268"/>
    </row>
    <row r="969" spans="1:20" s="269" customFormat="1" ht="14.4" customHeight="1" x14ac:dyDescent="0.2">
      <c r="A969" s="409"/>
      <c r="B969" s="409"/>
      <c r="C969" s="409"/>
      <c r="D969" s="409"/>
      <c r="E969" s="409"/>
      <c r="F969" s="409"/>
      <c r="G969" s="409"/>
      <c r="H969" s="409"/>
      <c r="I969" s="409"/>
      <c r="J969" s="409"/>
      <c r="K969" s="409"/>
      <c r="L969" s="409"/>
      <c r="M969" s="409"/>
      <c r="N969" s="409"/>
      <c r="O969" s="409"/>
      <c r="P969" s="409"/>
      <c r="Q969" s="409"/>
      <c r="S969" s="268"/>
      <c r="T969" s="268"/>
    </row>
    <row r="970" spans="1:20" s="269" customFormat="1" ht="14.4" customHeight="1" x14ac:dyDescent="0.2">
      <c r="A970" s="409"/>
      <c r="B970" s="409"/>
      <c r="C970" s="409"/>
      <c r="D970" s="409"/>
      <c r="E970" s="409"/>
      <c r="F970" s="409"/>
      <c r="G970" s="409"/>
      <c r="H970" s="409"/>
      <c r="I970" s="409"/>
      <c r="J970" s="409"/>
      <c r="K970" s="409"/>
      <c r="L970" s="409"/>
      <c r="M970" s="409"/>
      <c r="N970" s="409"/>
      <c r="O970" s="409"/>
      <c r="P970" s="409"/>
      <c r="Q970" s="409"/>
      <c r="S970" s="268"/>
      <c r="T970" s="268"/>
    </row>
    <row r="971" spans="1:20" s="269" customFormat="1" ht="14.4" customHeight="1" x14ac:dyDescent="0.2">
      <c r="A971" s="409"/>
      <c r="B971" s="409"/>
      <c r="C971" s="409"/>
      <c r="D971" s="409"/>
      <c r="E971" s="409"/>
      <c r="F971" s="409"/>
      <c r="G971" s="409"/>
      <c r="H971" s="409"/>
      <c r="I971" s="409"/>
      <c r="J971" s="409"/>
      <c r="K971" s="409"/>
      <c r="L971" s="409"/>
      <c r="M971" s="409"/>
      <c r="N971" s="409"/>
      <c r="O971" s="409"/>
      <c r="P971" s="409"/>
      <c r="Q971" s="409"/>
      <c r="S971" s="268"/>
      <c r="T971" s="268"/>
    </row>
    <row r="972" spans="1:20" s="269" customFormat="1" ht="14.4" customHeight="1" x14ac:dyDescent="0.2">
      <c r="A972" s="409"/>
      <c r="B972" s="409"/>
      <c r="C972" s="409"/>
      <c r="D972" s="409"/>
      <c r="E972" s="409"/>
      <c r="F972" s="409"/>
      <c r="G972" s="409"/>
      <c r="H972" s="409"/>
      <c r="I972" s="409"/>
      <c r="J972" s="409"/>
      <c r="K972" s="409"/>
      <c r="L972" s="409"/>
      <c r="M972" s="409"/>
      <c r="N972" s="409"/>
      <c r="O972" s="409"/>
      <c r="P972" s="409"/>
      <c r="Q972" s="409"/>
      <c r="S972" s="268"/>
      <c r="T972" s="268"/>
    </row>
    <row r="973" spans="1:20" s="269" customFormat="1" ht="14.4" customHeight="1" x14ac:dyDescent="0.2">
      <c r="A973" s="409"/>
      <c r="B973" s="409"/>
      <c r="C973" s="409"/>
      <c r="D973" s="409"/>
      <c r="E973" s="409"/>
      <c r="F973" s="409"/>
      <c r="G973" s="409"/>
      <c r="H973" s="409"/>
      <c r="I973" s="409"/>
      <c r="J973" s="409"/>
      <c r="K973" s="409"/>
      <c r="L973" s="409"/>
      <c r="M973" s="409"/>
      <c r="N973" s="409"/>
      <c r="O973" s="409"/>
      <c r="P973" s="409"/>
      <c r="Q973" s="409"/>
      <c r="S973" s="268"/>
      <c r="T973" s="268"/>
    </row>
    <row r="974" spans="1:20" s="269" customFormat="1" ht="14.4" customHeight="1" x14ac:dyDescent="0.2">
      <c r="A974" s="409"/>
      <c r="B974" s="409"/>
      <c r="C974" s="409"/>
      <c r="D974" s="409"/>
      <c r="E974" s="409"/>
      <c r="F974" s="409"/>
      <c r="G974" s="409"/>
      <c r="H974" s="409"/>
      <c r="I974" s="409"/>
      <c r="J974" s="409"/>
      <c r="K974" s="409"/>
      <c r="L974" s="409"/>
      <c r="M974" s="409"/>
      <c r="N974" s="409"/>
      <c r="O974" s="409"/>
      <c r="P974" s="409"/>
      <c r="Q974" s="409"/>
      <c r="S974" s="268"/>
      <c r="T974" s="268"/>
    </row>
    <row r="975" spans="1:20" s="244" customFormat="1" ht="14.4" customHeight="1" x14ac:dyDescent="0.3">
      <c r="A975" s="409"/>
      <c r="B975" s="409"/>
      <c r="C975" s="409"/>
      <c r="D975" s="409"/>
      <c r="E975" s="409"/>
      <c r="F975" s="409"/>
      <c r="G975" s="409"/>
      <c r="H975" s="409"/>
      <c r="I975" s="409"/>
      <c r="J975" s="409"/>
      <c r="K975" s="409"/>
      <c r="L975" s="409"/>
      <c r="M975" s="409"/>
      <c r="N975" s="409"/>
      <c r="O975" s="409"/>
      <c r="P975" s="409"/>
      <c r="Q975" s="225"/>
      <c r="S975" s="243"/>
      <c r="T975" s="243"/>
    </row>
    <row r="976" spans="1:20" s="244" customFormat="1" ht="14.4" customHeight="1" x14ac:dyDescent="0.3">
      <c r="A976" s="409"/>
      <c r="B976" s="409"/>
      <c r="C976" s="409"/>
      <c r="D976" s="409"/>
      <c r="E976" s="409"/>
      <c r="F976" s="409"/>
      <c r="G976" s="409"/>
      <c r="H976" s="409"/>
      <c r="I976" s="409"/>
      <c r="J976" s="409"/>
      <c r="K976" s="409"/>
      <c r="L976" s="409"/>
      <c r="M976" s="409"/>
      <c r="N976" s="409"/>
      <c r="O976" s="409"/>
      <c r="P976" s="409"/>
      <c r="Q976" s="225"/>
      <c r="S976" s="243"/>
      <c r="T976" s="243"/>
    </row>
    <row r="977" spans="1:20" s="244" customFormat="1" ht="14.4" customHeight="1" x14ac:dyDescent="0.3">
      <c r="A977" s="409"/>
      <c r="B977" s="409"/>
      <c r="C977" s="409"/>
      <c r="D977" s="409"/>
      <c r="E977" s="409"/>
      <c r="F977" s="409"/>
      <c r="G977" s="409"/>
      <c r="H977" s="409"/>
      <c r="I977" s="409"/>
      <c r="J977" s="409"/>
      <c r="K977" s="409"/>
      <c r="L977" s="409"/>
      <c r="M977" s="409"/>
      <c r="N977" s="409"/>
      <c r="O977" s="409"/>
      <c r="P977" s="409"/>
      <c r="Q977" s="225"/>
      <c r="S977" s="243"/>
      <c r="T977" s="243"/>
    </row>
    <row r="978" spans="1:20" s="244" customFormat="1" ht="14.4" customHeight="1" x14ac:dyDescent="0.3">
      <c r="A978" s="409"/>
      <c r="B978" s="409"/>
      <c r="C978" s="409"/>
      <c r="D978" s="409"/>
      <c r="E978" s="409"/>
      <c r="F978" s="409"/>
      <c r="G978" s="409"/>
      <c r="H978" s="409"/>
      <c r="I978" s="409"/>
      <c r="J978" s="409"/>
      <c r="K978" s="409"/>
      <c r="L978" s="409"/>
      <c r="M978" s="409"/>
      <c r="N978" s="409"/>
      <c r="O978" s="409"/>
      <c r="P978" s="409"/>
      <c r="Q978" s="225"/>
      <c r="S978" s="243"/>
      <c r="T978" s="243"/>
    </row>
    <row r="979" spans="1:20" s="14" customForma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1"/>
      <c r="S979" s="31"/>
      <c r="T979" s="31"/>
    </row>
    <row r="980" spans="1:20" s="14" customForma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1"/>
      <c r="S980" s="31"/>
      <c r="T980" s="31"/>
    </row>
    <row r="981" spans="1:20" s="14" customForma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1"/>
      <c r="S981" s="31"/>
      <c r="T981" s="31"/>
    </row>
    <row r="982" spans="1:20" s="14" customForma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1"/>
      <c r="S982" s="31"/>
      <c r="T982" s="31"/>
    </row>
    <row r="983" spans="1:20" s="14" customForma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1"/>
      <c r="S983" s="31"/>
      <c r="T983" s="31"/>
    </row>
    <row r="984" spans="1:20" s="14" customForma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1"/>
      <c r="S984" s="31"/>
      <c r="T984" s="31"/>
    </row>
    <row r="985" spans="1:20" s="14" customForma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1"/>
      <c r="S985" s="31"/>
      <c r="T985" s="31"/>
    </row>
    <row r="986" spans="1:20" s="14" customForma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S986" s="31"/>
      <c r="T986" s="31"/>
    </row>
    <row r="987" spans="1:20" s="14" customForma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S987" s="31"/>
      <c r="T987" s="31"/>
    </row>
    <row r="988" spans="1:20" s="14" customForma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S988" s="31"/>
      <c r="T988" s="31"/>
    </row>
    <row r="989" spans="1:20" s="14" customForma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S989" s="31"/>
      <c r="T989" s="31"/>
    </row>
    <row r="990" spans="1:20" s="14" customForma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S990" s="31"/>
      <c r="T990" s="31"/>
    </row>
    <row r="991" spans="1:20" s="14" customForma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S991" s="31"/>
      <c r="T991" s="31"/>
    </row>
    <row r="992" spans="1:20" s="14" customForma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S992" s="31"/>
      <c r="T992" s="31"/>
    </row>
    <row r="993" spans="1:20" s="14" customForma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S993" s="31"/>
      <c r="T993" s="31"/>
    </row>
    <row r="994" spans="1:20" s="14" customForma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S994" s="31"/>
      <c r="T994" s="31"/>
    </row>
    <row r="995" spans="1:20" s="14" customForma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S995" s="31"/>
      <c r="T995" s="31"/>
    </row>
    <row r="996" spans="1:20" s="14" customForma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S996" s="31"/>
      <c r="T996" s="31"/>
    </row>
    <row r="997" spans="1:20" s="14" customForma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S997" s="31"/>
      <c r="T997" s="31"/>
    </row>
    <row r="998" spans="1:20" s="14" customForma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S998" s="31"/>
      <c r="T998" s="31"/>
    </row>
    <row r="999" spans="1:20" s="14" customForma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S999" s="31"/>
      <c r="T999" s="31"/>
    </row>
    <row r="1000" spans="1:20" s="14" customForma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S1000" s="31"/>
      <c r="T1000" s="31"/>
    </row>
    <row r="1001" spans="1:20" s="14" customForma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S1001" s="31"/>
      <c r="T1001" s="31"/>
    </row>
    <row r="1002" spans="1:20" s="14" customForma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S1002" s="31"/>
      <c r="T1002" s="31"/>
    </row>
    <row r="1003" spans="1:20" s="14" customForma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S1003" s="31"/>
      <c r="T1003" s="31"/>
    </row>
    <row r="1004" spans="1:20" s="14" customForma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S1004" s="31"/>
      <c r="T1004" s="31"/>
    </row>
    <row r="1005" spans="1:20" s="14" customForma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S1005" s="31"/>
      <c r="T1005" s="31"/>
    </row>
    <row r="1006" spans="1:20" s="14" customForma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S1006" s="31"/>
      <c r="T1006" s="31"/>
    </row>
    <row r="1007" spans="1:20" s="14" customForma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S1007" s="31"/>
      <c r="T1007" s="31"/>
    </row>
    <row r="1008" spans="1:20" s="14" customForma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S1008" s="31"/>
      <c r="T1008" s="31"/>
    </row>
    <row r="1009" spans="1:20" s="14" customForma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S1009" s="31"/>
      <c r="T1009" s="31"/>
    </row>
    <row r="1010" spans="1:20" s="14" customForma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S1010" s="31"/>
      <c r="T1010" s="31"/>
    </row>
    <row r="1011" spans="1:20" s="14" customForma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S1011" s="31"/>
      <c r="T1011" s="31"/>
    </row>
    <row r="1012" spans="1:20" s="14" customForma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S1012" s="31"/>
      <c r="T1012" s="31"/>
    </row>
    <row r="1013" spans="1:20" s="14" customForma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S1013" s="31"/>
      <c r="T1013" s="31"/>
    </row>
    <row r="1014" spans="1:20" s="14" customForma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S1014" s="31"/>
      <c r="T1014" s="31"/>
    </row>
    <row r="1015" spans="1:20" s="14" customFormat="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S1015" s="31"/>
      <c r="T1015" s="31"/>
    </row>
    <row r="1016" spans="1:20" s="14" customFormat="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S1016" s="31"/>
      <c r="T1016" s="31"/>
    </row>
    <row r="1017" spans="1:20" s="14" customFormat="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S1017" s="31"/>
      <c r="T1017" s="31"/>
    </row>
    <row r="1018" spans="1:20" s="14" customFormat="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S1018" s="31"/>
      <c r="T1018" s="31"/>
    </row>
    <row r="1019" spans="1:20" s="14" customFormat="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S1019" s="31"/>
      <c r="T1019" s="31"/>
    </row>
    <row r="1020" spans="1:20" s="14" customFormat="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S1020" s="31"/>
      <c r="T1020" s="31"/>
    </row>
    <row r="1021" spans="1:20" s="14" customFormat="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S1021" s="31"/>
      <c r="T1021" s="31"/>
    </row>
    <row r="1022" spans="1:20" s="14" customFormat="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S1022" s="31"/>
      <c r="T1022" s="31"/>
    </row>
    <row r="1023" spans="1:20" s="14" customFormat="1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S1023" s="31"/>
      <c r="T1023" s="31"/>
    </row>
    <row r="1024" spans="1:20" s="14" customFormat="1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S1024" s="31"/>
      <c r="T1024" s="31"/>
    </row>
    <row r="1025" spans="1:20" s="14" customFormat="1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S1025" s="31"/>
      <c r="T1025" s="31"/>
    </row>
    <row r="1026" spans="1:20" s="14" customFormat="1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S1026" s="31"/>
      <c r="T1026" s="31"/>
    </row>
    <row r="1027" spans="1:20" s="14" customFormat="1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S1027" s="31"/>
      <c r="T1027" s="31"/>
    </row>
    <row r="1028" spans="1:20" s="14" customFormat="1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S1028" s="31"/>
      <c r="T1028" s="31"/>
    </row>
    <row r="1029" spans="1:20" s="14" customFormat="1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S1029" s="31"/>
      <c r="T1029" s="31"/>
    </row>
    <row r="1030" spans="1:20" s="14" customFormat="1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S1030" s="31"/>
      <c r="T1030" s="31"/>
    </row>
    <row r="1031" spans="1:20" s="14" customFormat="1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S1031" s="31"/>
      <c r="T1031" s="31"/>
    </row>
    <row r="1032" spans="1:20" s="14" customFormat="1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S1032" s="31"/>
      <c r="T1032" s="31"/>
    </row>
    <row r="1033" spans="1:20" s="14" customFormat="1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S1033" s="31"/>
      <c r="T1033" s="31"/>
    </row>
    <row r="1034" spans="1:20" s="14" customFormat="1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S1034" s="31"/>
      <c r="T1034" s="31"/>
    </row>
    <row r="1035" spans="1:20" s="14" customFormat="1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S1035" s="31"/>
      <c r="T1035" s="31"/>
    </row>
    <row r="1036" spans="1:20" s="14" customFormat="1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S1036" s="31"/>
      <c r="T1036" s="31"/>
    </row>
    <row r="1037" spans="1:20" s="14" customFormat="1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S1037" s="31"/>
      <c r="T1037" s="31"/>
    </row>
    <row r="1038" spans="1:20" s="14" customFormat="1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S1038" s="31"/>
      <c r="T1038" s="31"/>
    </row>
    <row r="1039" spans="1:20" s="14" customFormat="1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S1039" s="31"/>
      <c r="T1039" s="31"/>
    </row>
    <row r="1040" spans="1:20" s="14" customFormat="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S1040" s="31"/>
      <c r="T1040" s="31"/>
    </row>
    <row r="1041" spans="1:20" s="14" customFormat="1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S1041" s="31"/>
      <c r="T1041" s="31"/>
    </row>
    <row r="1042" spans="1:20" s="14" customFormat="1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S1042" s="31"/>
      <c r="T1042" s="31"/>
    </row>
    <row r="1043" spans="1:20" s="14" customFormat="1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S1043" s="31"/>
      <c r="T1043" s="31"/>
    </row>
    <row r="1044" spans="1:20" s="14" customFormat="1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S1044" s="31"/>
      <c r="T1044" s="31"/>
    </row>
    <row r="1045" spans="1:20" s="14" customFormat="1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S1045" s="31"/>
      <c r="T1045" s="31"/>
    </row>
    <row r="1046" spans="1:20" s="14" customFormat="1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S1046" s="31"/>
      <c r="T1046" s="31"/>
    </row>
    <row r="1047" spans="1:20" s="14" customFormat="1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S1047" s="31"/>
      <c r="T1047" s="31"/>
    </row>
    <row r="1048" spans="1:20" s="14" customFormat="1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S1048" s="31"/>
      <c r="T1048" s="31"/>
    </row>
    <row r="1049" spans="1:20" s="14" customFormat="1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S1049" s="31"/>
      <c r="T1049" s="31"/>
    </row>
    <row r="1050" spans="1:20" s="14" customFormat="1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S1050" s="31"/>
      <c r="T1050" s="31"/>
    </row>
    <row r="1051" spans="1:20" s="14" customFormat="1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S1051" s="31"/>
      <c r="T1051" s="31"/>
    </row>
    <row r="1052" spans="1:20" s="14" customFormat="1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S1052" s="31"/>
      <c r="T1052" s="31"/>
    </row>
    <row r="1053" spans="1:20" s="14" customFormat="1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S1053" s="31"/>
      <c r="T1053" s="31"/>
    </row>
    <row r="1054" spans="1:20" s="14" customFormat="1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S1054" s="31"/>
      <c r="T1054" s="31"/>
    </row>
    <row r="1055" spans="1:20" s="14" customFormat="1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S1055" s="31"/>
      <c r="T1055" s="31"/>
    </row>
    <row r="1056" spans="1:20" s="14" customFormat="1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S1056" s="31"/>
      <c r="T1056" s="31"/>
    </row>
    <row r="1057" spans="1:20" s="14" customFormat="1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S1057" s="31"/>
      <c r="T1057" s="31"/>
    </row>
    <row r="1058" spans="1:20" s="14" customFormat="1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S1058" s="31"/>
      <c r="T1058" s="31"/>
    </row>
    <row r="1059" spans="1:20" s="14" customFormat="1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S1059" s="31"/>
      <c r="T1059" s="31"/>
    </row>
    <row r="1060" spans="1:20" s="14" customFormat="1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S1060" s="31"/>
      <c r="T1060" s="31"/>
    </row>
    <row r="1061" spans="1:20" s="14" customFormat="1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S1061" s="31"/>
      <c r="T1061" s="31"/>
    </row>
    <row r="1062" spans="1:20" s="14" customFormat="1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S1062" s="31"/>
      <c r="T1062" s="31"/>
    </row>
    <row r="1063" spans="1:20" s="14" customFormat="1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S1063" s="31"/>
      <c r="T1063" s="31"/>
    </row>
    <row r="1064" spans="1:20" s="14" customFormat="1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S1064" s="31"/>
      <c r="T1064" s="31"/>
    </row>
    <row r="1065" spans="1:20" s="14" customFormat="1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S1065" s="31"/>
      <c r="T1065" s="31"/>
    </row>
    <row r="1066" spans="1:20" s="14" customFormat="1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S1066" s="31"/>
      <c r="T1066" s="31"/>
    </row>
    <row r="1067" spans="1:20" s="14" customFormat="1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S1067" s="31"/>
      <c r="T1067" s="31"/>
    </row>
    <row r="1068" spans="1:20" s="14" customFormat="1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S1068" s="31"/>
      <c r="T1068" s="31"/>
    </row>
    <row r="1069" spans="1:20" s="14" customFormat="1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S1069" s="31"/>
      <c r="T1069" s="31"/>
    </row>
    <row r="1070" spans="1:20" s="14" customFormat="1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S1070" s="31"/>
      <c r="T1070" s="31"/>
    </row>
    <row r="1071" spans="1:20" s="14" customFormat="1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S1071" s="31"/>
      <c r="T1071" s="31"/>
    </row>
    <row r="1072" spans="1:20" s="14" customFormat="1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S1072" s="31"/>
      <c r="T1072" s="31"/>
    </row>
    <row r="1073" spans="1:20" s="14" customFormat="1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S1073" s="31"/>
      <c r="T1073" s="31"/>
    </row>
    <row r="1074" spans="1:20" s="14" customFormat="1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S1074" s="31"/>
      <c r="T1074" s="31"/>
    </row>
    <row r="1075" spans="1:20" s="14" customFormat="1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S1075" s="31"/>
      <c r="T1075" s="31"/>
    </row>
    <row r="1076" spans="1:20" s="14" customFormat="1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S1076" s="31"/>
      <c r="T1076" s="31"/>
    </row>
    <row r="1077" spans="1:20" s="14" customFormat="1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S1077" s="31"/>
      <c r="T1077" s="31"/>
    </row>
    <row r="1078" spans="1:20" s="14" customFormat="1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S1078" s="31"/>
      <c r="T1078" s="31"/>
    </row>
    <row r="1079" spans="1:20" s="14" customFormat="1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S1079" s="31"/>
      <c r="T1079" s="31"/>
    </row>
    <row r="1080" spans="1:20" s="14" customFormat="1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S1080" s="31"/>
      <c r="T1080" s="31"/>
    </row>
    <row r="1081" spans="1:20" s="14" customFormat="1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S1081" s="31"/>
      <c r="T1081" s="31"/>
    </row>
    <row r="1082" spans="1:20" s="14" customFormat="1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S1082" s="31"/>
      <c r="T1082" s="31"/>
    </row>
    <row r="1083" spans="1:20" s="14" customFormat="1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S1083" s="31"/>
      <c r="T1083" s="31"/>
    </row>
    <row r="1084" spans="1:20" s="14" customFormat="1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S1084" s="31"/>
      <c r="T1084" s="31"/>
    </row>
    <row r="1085" spans="1:20" s="14" customFormat="1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S1085" s="31"/>
      <c r="T1085" s="31"/>
    </row>
    <row r="1086" spans="1:20" s="14" customFormat="1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S1086" s="31"/>
      <c r="T1086" s="31"/>
    </row>
    <row r="1087" spans="1:20" s="14" customFormat="1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S1087" s="31"/>
      <c r="T1087" s="31"/>
    </row>
    <row r="1088" spans="1:20" s="14" customFormat="1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S1088" s="31"/>
      <c r="T1088" s="31"/>
    </row>
    <row r="1089" spans="1:20" s="14" customFormat="1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S1089" s="31"/>
      <c r="T1089" s="31"/>
    </row>
    <row r="1090" spans="1:20" s="14" customFormat="1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S1090" s="31"/>
      <c r="T1090" s="31"/>
    </row>
    <row r="1091" spans="1:20" s="14" customFormat="1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S1091" s="31"/>
      <c r="T1091" s="31"/>
    </row>
    <row r="1092" spans="1:20" s="14" customFormat="1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S1092" s="31"/>
      <c r="T1092" s="31"/>
    </row>
    <row r="1093" spans="1:20" s="14" customFormat="1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S1093" s="31"/>
      <c r="T1093" s="31"/>
    </row>
    <row r="1094" spans="1:20" s="14" customFormat="1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S1094" s="31"/>
      <c r="T1094" s="31"/>
    </row>
    <row r="1095" spans="1:20" s="14" customFormat="1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S1095" s="31"/>
      <c r="T1095" s="31"/>
    </row>
    <row r="1096" spans="1:20" s="14" customFormat="1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S1096" s="31"/>
      <c r="T1096" s="31"/>
    </row>
    <row r="1097" spans="1:20" s="14" customFormat="1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S1097" s="31"/>
      <c r="T1097" s="31"/>
    </row>
    <row r="1098" spans="1:20" s="14" customFormat="1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S1098" s="31"/>
      <c r="T1098" s="31"/>
    </row>
    <row r="1099" spans="1:20" s="14" customFormat="1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S1099" s="31"/>
      <c r="T1099" s="31"/>
    </row>
    <row r="1100" spans="1:20" s="14" customFormat="1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S1100" s="31"/>
      <c r="T1100" s="31"/>
    </row>
    <row r="1101" spans="1:20" s="14" customFormat="1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S1101" s="31"/>
      <c r="T1101" s="31"/>
    </row>
    <row r="1102" spans="1:20" s="14" customFormat="1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S1102" s="31"/>
      <c r="T1102" s="31"/>
    </row>
    <row r="1103" spans="1:20" s="14" customFormat="1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S1103" s="31"/>
      <c r="T1103" s="31"/>
    </row>
    <row r="1104" spans="1:20" s="14" customFormat="1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S1104" s="31"/>
      <c r="T1104" s="31"/>
    </row>
    <row r="1105" spans="1:20" s="14" customFormat="1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S1105" s="31"/>
      <c r="T1105" s="31"/>
    </row>
    <row r="1106" spans="1:20" s="14" customFormat="1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S1106" s="31"/>
      <c r="T1106" s="31"/>
    </row>
    <row r="1107" spans="1:20" s="14" customFormat="1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S1107" s="31"/>
      <c r="T1107" s="31"/>
    </row>
    <row r="1108" spans="1:20" s="14" customFormat="1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S1108" s="31"/>
      <c r="T1108" s="31"/>
    </row>
    <row r="1109" spans="1:20" s="14" customFormat="1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S1109" s="31"/>
      <c r="T1109" s="31"/>
    </row>
    <row r="1110" spans="1:20" s="14" customFormat="1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S1110" s="31"/>
      <c r="T1110" s="31"/>
    </row>
    <row r="1111" spans="1:20" s="14" customFormat="1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S1111" s="31"/>
      <c r="T1111" s="31"/>
    </row>
    <row r="1112" spans="1:20" s="14" customFormat="1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S1112" s="31"/>
      <c r="T1112" s="31"/>
    </row>
    <row r="1113" spans="1:20" s="14" customFormat="1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S1113" s="31"/>
      <c r="T1113" s="31"/>
    </row>
    <row r="1114" spans="1:20" s="14" customFormat="1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S1114" s="31"/>
      <c r="T1114" s="31"/>
    </row>
    <row r="1115" spans="1:20" s="14" customFormat="1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S1115" s="31"/>
      <c r="T1115" s="31"/>
    </row>
    <row r="1116" spans="1:20" s="14" customFormat="1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S1116" s="31"/>
      <c r="T1116" s="31"/>
    </row>
    <row r="1117" spans="1:20" s="14" customFormat="1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S1117" s="31"/>
      <c r="T1117" s="31"/>
    </row>
    <row r="1118" spans="1:20" s="14" customFormat="1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S1118" s="31"/>
      <c r="T1118" s="31"/>
    </row>
    <row r="1119" spans="1:20" s="14" customFormat="1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S1119" s="31"/>
      <c r="T1119" s="31"/>
    </row>
    <row r="1120" spans="1:20" s="14" customFormat="1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S1120" s="31"/>
      <c r="T1120" s="31"/>
    </row>
    <row r="1121" spans="1:20" s="14" customFormat="1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S1121" s="31"/>
      <c r="T1121" s="31"/>
    </row>
    <row r="1122" spans="1:20" s="14" customFormat="1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S1122" s="31"/>
      <c r="T1122" s="31"/>
    </row>
    <row r="1123" spans="1:20" s="14" customFormat="1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S1123" s="31"/>
      <c r="T1123" s="31"/>
    </row>
    <row r="1124" spans="1:20" s="14" customFormat="1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S1124" s="31"/>
      <c r="T1124" s="31"/>
    </row>
    <row r="1125" spans="1:20" s="14" customFormat="1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S1125" s="31"/>
      <c r="T1125" s="31"/>
    </row>
    <row r="1126" spans="1:20" s="14" customFormat="1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S1126" s="31"/>
      <c r="T1126" s="31"/>
    </row>
    <row r="1127" spans="1:20" s="14" customFormat="1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S1127" s="31"/>
      <c r="T1127" s="31"/>
    </row>
    <row r="1128" spans="1:20" s="14" customFormat="1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S1128" s="31"/>
      <c r="T1128" s="31"/>
    </row>
    <row r="1129" spans="1:20" s="14" customFormat="1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S1129" s="31"/>
      <c r="T1129" s="31"/>
    </row>
    <row r="1130" spans="1:20" s="14" customFormat="1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S1130" s="31"/>
      <c r="T1130" s="31"/>
    </row>
    <row r="1131" spans="1:20" s="14" customFormat="1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S1131" s="31"/>
      <c r="T1131" s="31"/>
    </row>
    <row r="1132" spans="1:20" s="14" customFormat="1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S1132" s="31"/>
      <c r="T1132" s="31"/>
    </row>
    <row r="1133" spans="1:20" s="14" customFormat="1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S1133" s="31"/>
      <c r="T1133" s="31"/>
    </row>
    <row r="1134" spans="1:20" s="14" customFormat="1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S1134" s="31"/>
      <c r="T1134" s="31"/>
    </row>
    <row r="1135" spans="1:20" s="14" customFormat="1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S1135" s="31"/>
      <c r="T1135" s="31"/>
    </row>
    <row r="1136" spans="1:20" s="14" customFormat="1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S1136" s="31"/>
      <c r="T1136" s="31"/>
    </row>
    <row r="1137" spans="1:20" s="14" customFormat="1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S1137" s="31"/>
      <c r="T1137" s="31"/>
    </row>
    <row r="1138" spans="1:20" s="14" customFormat="1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S1138" s="31"/>
      <c r="T1138" s="31"/>
    </row>
    <row r="1139" spans="1:20" s="14" customFormat="1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S1139" s="31"/>
      <c r="T1139" s="31"/>
    </row>
    <row r="1140" spans="1:20" s="14" customFormat="1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S1140" s="31"/>
      <c r="T1140" s="31"/>
    </row>
    <row r="1141" spans="1:20" s="14" customFormat="1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S1141" s="31"/>
      <c r="T1141" s="31"/>
    </row>
    <row r="1142" spans="1:20" s="14" customFormat="1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S1142" s="31"/>
      <c r="T1142" s="31"/>
    </row>
    <row r="1143" spans="1:20" s="14" customFormat="1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S1143" s="31"/>
      <c r="T1143" s="31"/>
    </row>
    <row r="1144" spans="1:20" s="14" customFormat="1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S1144" s="31"/>
      <c r="T1144" s="31"/>
    </row>
    <row r="1145" spans="1:20" s="14" customFormat="1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S1145" s="31"/>
      <c r="T1145" s="31"/>
    </row>
    <row r="1146" spans="1:20" s="14" customFormat="1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S1146" s="31"/>
      <c r="T1146" s="31"/>
    </row>
    <row r="1147" spans="1:20" s="14" customFormat="1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S1147" s="31"/>
      <c r="T1147" s="31"/>
    </row>
    <row r="1148" spans="1:20" s="14" customFormat="1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S1148" s="31"/>
      <c r="T1148" s="31"/>
    </row>
    <row r="1149" spans="1:20" s="14" customFormat="1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S1149" s="31"/>
      <c r="T1149" s="31"/>
    </row>
    <row r="1150" spans="1:20" s="14" customFormat="1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S1150" s="31"/>
      <c r="T1150" s="31"/>
    </row>
    <row r="1151" spans="1:20" s="14" customFormat="1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S1151" s="31"/>
      <c r="T1151" s="31"/>
    </row>
    <row r="1152" spans="1:20" s="14" customFormat="1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S1152" s="31"/>
      <c r="T1152" s="31"/>
    </row>
    <row r="1153" spans="1:20" s="14" customFormat="1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S1153" s="31"/>
      <c r="T1153" s="31"/>
    </row>
    <row r="1154" spans="1:20" s="14" customFormat="1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S1154" s="31"/>
      <c r="T1154" s="31"/>
    </row>
    <row r="1155" spans="1:20" s="14" customFormat="1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S1155" s="31"/>
      <c r="T1155" s="31"/>
    </row>
    <row r="1156" spans="1:20" s="14" customFormat="1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S1156" s="31"/>
      <c r="T1156" s="31"/>
    </row>
    <row r="1157" spans="1:20" s="14" customFormat="1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S1157" s="31"/>
      <c r="T1157" s="31"/>
    </row>
    <row r="1158" spans="1:20" s="14" customFormat="1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S1158" s="31"/>
      <c r="T1158" s="31"/>
    </row>
    <row r="1159" spans="1:20" s="14" customFormat="1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S1159" s="31"/>
      <c r="T1159" s="31"/>
    </row>
    <row r="1160" spans="1:20" s="14" customFormat="1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S1160" s="31"/>
      <c r="T1160" s="31"/>
    </row>
    <row r="1161" spans="1:20" s="14" customFormat="1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S1161" s="31"/>
      <c r="T1161" s="31"/>
    </row>
    <row r="1162" spans="1:20" s="14" customFormat="1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S1162" s="31"/>
      <c r="T1162" s="31"/>
    </row>
    <row r="1163" spans="1:20" s="14" customFormat="1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S1163" s="31"/>
      <c r="T1163" s="31"/>
    </row>
    <row r="1164" spans="1:20" s="14" customFormat="1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S1164" s="31"/>
      <c r="T1164" s="31"/>
    </row>
    <row r="1165" spans="1:20" s="14" customFormat="1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S1165" s="31"/>
      <c r="T1165" s="31"/>
    </row>
    <row r="1166" spans="1:20" s="14" customFormat="1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S1166" s="31"/>
      <c r="T1166" s="31"/>
    </row>
    <row r="1167" spans="1:20" s="14" customFormat="1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S1167" s="31"/>
      <c r="T1167" s="31"/>
    </row>
    <row r="1168" spans="1:20" s="14" customFormat="1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S1168" s="31"/>
      <c r="T1168" s="31"/>
    </row>
    <row r="1169" spans="1:20" s="14" customFormat="1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S1169" s="31"/>
      <c r="T1169" s="31"/>
    </row>
    <row r="1170" spans="1:20" s="14" customFormat="1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S1170" s="31"/>
      <c r="T1170" s="31"/>
    </row>
    <row r="1171" spans="1:20" s="14" customFormat="1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S1171" s="31"/>
      <c r="T1171" s="31"/>
    </row>
    <row r="1172" spans="1:20" s="14" customFormat="1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S1172" s="31"/>
      <c r="T1172" s="31"/>
    </row>
    <row r="1173" spans="1:20" s="14" customFormat="1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S1173" s="31"/>
      <c r="T1173" s="31"/>
    </row>
    <row r="1174" spans="1:20" s="14" customFormat="1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S1174" s="31"/>
      <c r="T1174" s="31"/>
    </row>
    <row r="1175" spans="1:20" s="14" customFormat="1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S1175" s="31"/>
      <c r="T1175" s="31"/>
    </row>
    <row r="1176" spans="1:20" s="14" customFormat="1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S1176" s="31"/>
      <c r="T1176" s="31"/>
    </row>
    <row r="1177" spans="1:20" s="14" customFormat="1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S1177" s="31"/>
      <c r="T1177" s="31"/>
    </row>
    <row r="1178" spans="1:20" s="14" customFormat="1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S1178" s="31"/>
      <c r="T1178" s="31"/>
    </row>
    <row r="1179" spans="1:20" s="14" customFormat="1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S1179" s="31"/>
      <c r="T1179" s="31"/>
    </row>
    <row r="1180" spans="1:20" s="14" customFormat="1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S1180" s="31"/>
      <c r="T1180" s="31"/>
    </row>
    <row r="1181" spans="1:20" s="14" customFormat="1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S1181" s="31"/>
      <c r="T1181" s="31"/>
    </row>
    <row r="1182" spans="1:20" s="14" customFormat="1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S1182" s="31"/>
      <c r="T1182" s="31"/>
    </row>
    <row r="1183" spans="1:20" s="14" customFormat="1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S1183" s="31"/>
      <c r="T1183" s="31"/>
    </row>
    <row r="1184" spans="1:20" s="14" customFormat="1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S1184" s="31"/>
      <c r="T1184" s="31"/>
    </row>
    <row r="1185" spans="1:20" s="14" customFormat="1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S1185" s="31"/>
      <c r="T1185" s="31"/>
    </row>
    <row r="1186" spans="1:20" s="14" customFormat="1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S1186" s="31"/>
      <c r="T1186" s="31"/>
    </row>
    <row r="1187" spans="1:20" s="14" customFormat="1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S1187" s="31"/>
      <c r="T1187" s="31"/>
    </row>
    <row r="1188" spans="1:20" s="14" customFormat="1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S1188" s="31"/>
      <c r="T1188" s="31"/>
    </row>
    <row r="1189" spans="1:20" s="14" customFormat="1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S1189" s="31"/>
      <c r="T1189" s="31"/>
    </row>
    <row r="1190" spans="1:20" s="14" customFormat="1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S1190" s="31"/>
      <c r="T1190" s="31"/>
    </row>
    <row r="1191" spans="1:20" s="14" customFormat="1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S1191" s="31"/>
      <c r="T1191" s="31"/>
    </row>
    <row r="1192" spans="1:20" s="14" customFormat="1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S1192" s="31"/>
      <c r="T1192" s="31"/>
    </row>
    <row r="1193" spans="1:20" s="14" customFormat="1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S1193" s="31"/>
      <c r="T1193" s="31"/>
    </row>
    <row r="1194" spans="1:20" s="14" customFormat="1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S1194" s="31"/>
      <c r="T1194" s="31"/>
    </row>
    <row r="1195" spans="1:20" s="14" customFormat="1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S1195" s="31"/>
      <c r="T1195" s="31"/>
    </row>
    <row r="1196" spans="1:20" s="14" customFormat="1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S1196" s="31"/>
      <c r="T1196" s="31"/>
    </row>
    <row r="1197" spans="1:20" s="14" customFormat="1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S1197" s="31"/>
      <c r="T1197" s="31"/>
    </row>
    <row r="1198" spans="1:20" s="14" customFormat="1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S1198" s="31"/>
      <c r="T1198" s="31"/>
    </row>
    <row r="1199" spans="1:20" s="14" customFormat="1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S1199" s="31"/>
      <c r="T1199" s="31"/>
    </row>
    <row r="1200" spans="1:20" s="14" customFormat="1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S1200" s="31"/>
      <c r="T1200" s="31"/>
    </row>
    <row r="1201" spans="1:20" s="14" customFormat="1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S1201" s="31"/>
      <c r="T1201" s="31"/>
    </row>
    <row r="1202" spans="1:20" s="14" customFormat="1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S1202" s="31"/>
      <c r="T1202" s="31"/>
    </row>
    <row r="1203" spans="1:20" s="14" customFormat="1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S1203" s="31"/>
      <c r="T1203" s="31"/>
    </row>
    <row r="1204" spans="1:20" s="14" customFormat="1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S1204" s="31"/>
      <c r="T1204" s="31"/>
    </row>
    <row r="1205" spans="1:20" s="14" customFormat="1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S1205" s="31"/>
      <c r="T1205" s="31"/>
    </row>
    <row r="1206" spans="1:20" s="14" customFormat="1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S1206" s="31"/>
      <c r="T1206" s="31"/>
    </row>
    <row r="1207" spans="1:20" s="14" customFormat="1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S1207" s="31"/>
      <c r="T1207" s="31"/>
    </row>
    <row r="1208" spans="1:20" s="14" customFormat="1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S1208" s="31"/>
      <c r="T1208" s="31"/>
    </row>
    <row r="1209" spans="1:20" s="14" customFormat="1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S1209" s="31"/>
      <c r="T1209" s="31"/>
    </row>
    <row r="1210" spans="1:20" s="14" customFormat="1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S1210" s="31"/>
      <c r="T1210" s="31"/>
    </row>
    <row r="1211" spans="1:20" s="14" customFormat="1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S1211" s="31"/>
      <c r="T1211" s="31"/>
    </row>
    <row r="1212" spans="1:20" s="14" customFormat="1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S1212" s="31"/>
      <c r="T1212" s="31"/>
    </row>
    <row r="1213" spans="1:20" s="14" customFormat="1" x14ac:dyDescent="0.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S1213" s="31"/>
      <c r="T1213" s="31"/>
    </row>
    <row r="1214" spans="1:20" s="14" customFormat="1" x14ac:dyDescent="0.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S1214" s="31"/>
      <c r="T1214" s="31"/>
    </row>
    <row r="1215" spans="1:20" s="14" customFormat="1" x14ac:dyDescent="0.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S1215" s="31"/>
      <c r="T1215" s="31"/>
    </row>
    <row r="1216" spans="1:20" s="14" customFormat="1" x14ac:dyDescent="0.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S1216" s="31"/>
      <c r="T1216" s="31"/>
    </row>
    <row r="1217" spans="1:20" s="14" customFormat="1" x14ac:dyDescent="0.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S1217" s="31"/>
      <c r="T1217" s="31"/>
    </row>
    <row r="1218" spans="1:20" s="14" customFormat="1" x14ac:dyDescent="0.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S1218" s="31"/>
      <c r="T1218" s="31"/>
    </row>
    <row r="1219" spans="1:20" s="14" customFormat="1" x14ac:dyDescent="0.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S1219" s="31"/>
      <c r="T1219" s="31"/>
    </row>
    <row r="1220" spans="1:20" s="14" customFormat="1" x14ac:dyDescent="0.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S1220" s="31"/>
      <c r="T1220" s="31"/>
    </row>
    <row r="1221" spans="1:20" s="14" customFormat="1" x14ac:dyDescent="0.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S1221" s="31"/>
      <c r="T1221" s="31"/>
    </row>
    <row r="1222" spans="1:20" s="14" customFormat="1" x14ac:dyDescent="0.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S1222" s="31"/>
      <c r="T1222" s="31"/>
    </row>
    <row r="1223" spans="1:20" s="14" customFormat="1" x14ac:dyDescent="0.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S1223" s="31"/>
      <c r="T1223" s="31"/>
    </row>
    <row r="1224" spans="1:20" s="14" customFormat="1" x14ac:dyDescent="0.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S1224" s="31"/>
      <c r="T1224" s="31"/>
    </row>
    <row r="1225" spans="1:20" s="14" customFormat="1" x14ac:dyDescent="0.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S1225" s="31"/>
      <c r="T1225" s="31"/>
    </row>
    <row r="1226" spans="1:20" s="14" customFormat="1" x14ac:dyDescent="0.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S1226" s="31"/>
      <c r="T1226" s="31"/>
    </row>
    <row r="1227" spans="1:20" s="14" customFormat="1" x14ac:dyDescent="0.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S1227" s="31"/>
      <c r="T1227" s="31"/>
    </row>
    <row r="1228" spans="1:20" s="14" customFormat="1" x14ac:dyDescent="0.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S1228" s="31"/>
      <c r="T1228" s="31"/>
    </row>
    <row r="1229" spans="1:20" s="14" customFormat="1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S1229" s="31"/>
      <c r="T1229" s="31"/>
    </row>
    <row r="1230" spans="1:20" s="14" customFormat="1" x14ac:dyDescent="0.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S1230" s="31"/>
      <c r="T1230" s="31"/>
    </row>
    <row r="1231" spans="1:20" s="14" customFormat="1" x14ac:dyDescent="0.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S1231" s="31"/>
      <c r="T1231" s="31"/>
    </row>
    <row r="1232" spans="1:20" s="14" customFormat="1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S1232" s="31"/>
      <c r="T1232" s="31"/>
    </row>
    <row r="1233" spans="1:20" s="14" customFormat="1" x14ac:dyDescent="0.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S1233" s="31"/>
      <c r="T1233" s="31"/>
    </row>
    <row r="1234" spans="1:20" s="14" customFormat="1" x14ac:dyDescent="0.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S1234" s="31"/>
      <c r="T1234" s="31"/>
    </row>
    <row r="1235" spans="1:20" s="14" customFormat="1" x14ac:dyDescent="0.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S1235" s="31"/>
      <c r="T1235" s="31"/>
    </row>
    <row r="1236" spans="1:20" s="14" customFormat="1" x14ac:dyDescent="0.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S1236" s="31"/>
      <c r="T1236" s="31"/>
    </row>
    <row r="1237" spans="1:20" s="14" customFormat="1" x14ac:dyDescent="0.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S1237" s="31"/>
      <c r="T1237" s="31"/>
    </row>
    <row r="1238" spans="1:20" s="14" customFormat="1" x14ac:dyDescent="0.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S1238" s="31"/>
      <c r="T1238" s="31"/>
    </row>
    <row r="1239" spans="1:20" s="14" customFormat="1" x14ac:dyDescent="0.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S1239" s="31"/>
      <c r="T1239" s="31"/>
    </row>
    <row r="1240" spans="1:20" s="14" customFormat="1" x14ac:dyDescent="0.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S1240" s="31"/>
      <c r="T1240" s="31"/>
    </row>
    <row r="1241" spans="1:20" s="14" customFormat="1" x14ac:dyDescent="0.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S1241" s="31"/>
      <c r="T1241" s="31"/>
    </row>
    <row r="1242" spans="1:20" s="14" customFormat="1" x14ac:dyDescent="0.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S1242" s="31"/>
      <c r="T1242" s="31"/>
    </row>
    <row r="1243" spans="1:20" s="14" customFormat="1" x14ac:dyDescent="0.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S1243" s="31"/>
      <c r="T1243" s="31"/>
    </row>
    <row r="1244" spans="1:20" s="14" customFormat="1" x14ac:dyDescent="0.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S1244" s="31"/>
      <c r="T1244" s="31"/>
    </row>
    <row r="1245" spans="1:20" s="14" customFormat="1" x14ac:dyDescent="0.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S1245" s="31"/>
      <c r="T1245" s="31"/>
    </row>
    <row r="1246" spans="1:20" s="14" customFormat="1" x14ac:dyDescent="0.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S1246" s="31"/>
      <c r="T1246" s="31"/>
    </row>
    <row r="1247" spans="1:20" s="14" customFormat="1" x14ac:dyDescent="0.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S1247" s="31"/>
      <c r="T1247" s="31"/>
    </row>
    <row r="1248" spans="1:20" s="14" customFormat="1" x14ac:dyDescent="0.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S1248" s="31"/>
      <c r="T1248" s="31"/>
    </row>
    <row r="1249" spans="1:20" s="14" customFormat="1" x14ac:dyDescent="0.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S1249" s="31"/>
      <c r="T1249" s="31"/>
    </row>
    <row r="1250" spans="1:20" s="14" customFormat="1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S1250" s="31"/>
      <c r="T1250" s="31"/>
    </row>
    <row r="1251" spans="1:20" s="14" customFormat="1" x14ac:dyDescent="0.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S1251" s="31"/>
      <c r="T1251" s="31"/>
    </row>
    <row r="1252" spans="1:20" s="14" customFormat="1" x14ac:dyDescent="0.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S1252" s="31"/>
      <c r="T1252" s="31"/>
    </row>
    <row r="1253" spans="1:20" s="14" customFormat="1" x14ac:dyDescent="0.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S1253" s="31"/>
      <c r="T1253" s="31"/>
    </row>
    <row r="1254" spans="1:20" s="14" customFormat="1" x14ac:dyDescent="0.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S1254" s="31"/>
      <c r="T1254" s="31"/>
    </row>
    <row r="1255" spans="1:20" s="14" customFormat="1" x14ac:dyDescent="0.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S1255" s="31"/>
      <c r="T1255" s="31"/>
    </row>
    <row r="1256" spans="1:20" s="14" customFormat="1" x14ac:dyDescent="0.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S1256" s="31"/>
      <c r="T1256" s="31"/>
    </row>
    <row r="1257" spans="1:20" s="14" customFormat="1" x14ac:dyDescent="0.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S1257" s="31"/>
      <c r="T1257" s="31"/>
    </row>
    <row r="1258" spans="1:20" s="14" customFormat="1" x14ac:dyDescent="0.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S1258" s="31"/>
      <c r="T1258" s="31"/>
    </row>
    <row r="1259" spans="1:20" s="14" customFormat="1" x14ac:dyDescent="0.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S1259" s="31"/>
      <c r="T1259" s="31"/>
    </row>
    <row r="1260" spans="1:20" s="14" customFormat="1" x14ac:dyDescent="0.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S1260" s="31"/>
      <c r="T1260" s="31"/>
    </row>
    <row r="1261" spans="1:20" s="14" customFormat="1" x14ac:dyDescent="0.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S1261" s="31"/>
      <c r="T1261" s="31"/>
    </row>
    <row r="1262" spans="1:20" s="14" customFormat="1" x14ac:dyDescent="0.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S1262" s="31"/>
      <c r="T1262" s="31"/>
    </row>
    <row r="1263" spans="1:20" s="14" customFormat="1" x14ac:dyDescent="0.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S1263" s="31"/>
      <c r="T1263" s="31"/>
    </row>
    <row r="1264" spans="1:20" s="14" customFormat="1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S1264" s="31"/>
      <c r="T1264" s="31"/>
    </row>
    <row r="1265" spans="1:20" s="14" customFormat="1" x14ac:dyDescent="0.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S1265" s="31"/>
      <c r="T1265" s="31"/>
    </row>
    <row r="1266" spans="1:20" s="14" customFormat="1" x14ac:dyDescent="0.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S1266" s="31"/>
      <c r="T1266" s="31"/>
    </row>
    <row r="1267" spans="1:20" s="14" customFormat="1" x14ac:dyDescent="0.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S1267" s="31"/>
      <c r="T1267" s="31"/>
    </row>
    <row r="1268" spans="1:20" s="14" customFormat="1" x14ac:dyDescent="0.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S1268" s="31"/>
      <c r="T1268" s="31"/>
    </row>
    <row r="1269" spans="1:20" s="14" customFormat="1" x14ac:dyDescent="0.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S1269" s="31"/>
      <c r="T1269" s="31"/>
    </row>
    <row r="1270" spans="1:20" s="14" customFormat="1" x14ac:dyDescent="0.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S1270" s="31"/>
      <c r="T1270" s="31"/>
    </row>
    <row r="1271" spans="1:20" s="14" customFormat="1" x14ac:dyDescent="0.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S1271" s="31"/>
      <c r="T1271" s="31"/>
    </row>
    <row r="1272" spans="1:20" s="14" customFormat="1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S1272" s="31"/>
      <c r="T1272" s="31"/>
    </row>
    <row r="1273" spans="1:20" s="14" customFormat="1" x14ac:dyDescent="0.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S1273" s="31"/>
      <c r="T1273" s="31"/>
    </row>
    <row r="1274" spans="1:20" s="14" customFormat="1" x14ac:dyDescent="0.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S1274" s="31"/>
      <c r="T1274" s="31"/>
    </row>
    <row r="1275" spans="1:20" s="14" customFormat="1" x14ac:dyDescent="0.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S1275" s="31"/>
      <c r="T1275" s="31"/>
    </row>
    <row r="1276" spans="1:20" s="14" customFormat="1" x14ac:dyDescent="0.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S1276" s="31"/>
      <c r="T1276" s="31"/>
    </row>
    <row r="1277" spans="1:20" s="14" customFormat="1" x14ac:dyDescent="0.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S1277" s="31"/>
      <c r="T1277" s="31"/>
    </row>
    <row r="1278" spans="1:20" s="14" customFormat="1" x14ac:dyDescent="0.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S1278" s="31"/>
      <c r="T1278" s="31"/>
    </row>
    <row r="1279" spans="1:20" s="14" customFormat="1" x14ac:dyDescent="0.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S1279" s="31"/>
      <c r="T1279" s="31"/>
    </row>
    <row r="1280" spans="1:20" s="14" customFormat="1" x14ac:dyDescent="0.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S1280" s="31"/>
      <c r="T1280" s="31"/>
    </row>
    <row r="1281" spans="1:20" s="14" customFormat="1" x14ac:dyDescent="0.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S1281" s="31"/>
      <c r="T1281" s="31"/>
    </row>
    <row r="1282" spans="1:20" s="14" customFormat="1" x14ac:dyDescent="0.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S1282" s="31"/>
      <c r="T1282" s="31"/>
    </row>
    <row r="1283" spans="1:20" s="14" customFormat="1" x14ac:dyDescent="0.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S1283" s="31"/>
      <c r="T1283" s="31"/>
    </row>
    <row r="1284" spans="1:20" s="14" customFormat="1" x14ac:dyDescent="0.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S1284" s="31"/>
      <c r="T1284" s="31"/>
    </row>
    <row r="1285" spans="1:20" s="14" customFormat="1" x14ac:dyDescent="0.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S1285" s="31"/>
      <c r="T1285" s="31"/>
    </row>
    <row r="1286" spans="1:20" s="14" customFormat="1" x14ac:dyDescent="0.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S1286" s="31"/>
      <c r="T1286" s="31"/>
    </row>
    <row r="1287" spans="1:20" s="14" customFormat="1" x14ac:dyDescent="0.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S1287" s="31"/>
      <c r="T1287" s="31"/>
    </row>
    <row r="1288" spans="1:20" s="14" customFormat="1" x14ac:dyDescent="0.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S1288" s="31"/>
      <c r="T1288" s="31"/>
    </row>
    <row r="1289" spans="1:20" s="14" customFormat="1" x14ac:dyDescent="0.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S1289" s="31"/>
      <c r="T1289" s="31"/>
    </row>
    <row r="1290" spans="1:20" s="14" customFormat="1" x14ac:dyDescent="0.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S1290" s="31"/>
      <c r="T1290" s="31"/>
    </row>
    <row r="1291" spans="1:20" s="14" customFormat="1" x14ac:dyDescent="0.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S1291" s="31"/>
      <c r="T1291" s="31"/>
    </row>
    <row r="1292" spans="1:20" s="14" customFormat="1" x14ac:dyDescent="0.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S1292" s="31"/>
      <c r="T1292" s="31"/>
    </row>
    <row r="1293" spans="1:20" s="14" customFormat="1" x14ac:dyDescent="0.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S1293" s="31"/>
      <c r="T1293" s="31"/>
    </row>
    <row r="1294" spans="1:20" s="14" customFormat="1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S1294" s="31"/>
      <c r="T1294" s="31"/>
    </row>
    <row r="1295" spans="1:20" s="14" customFormat="1" x14ac:dyDescent="0.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S1295" s="31"/>
      <c r="T1295" s="31"/>
    </row>
    <row r="1296" spans="1:20" s="14" customFormat="1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S1296" s="31"/>
      <c r="T1296" s="31"/>
    </row>
    <row r="1297" spans="1:20" s="14" customFormat="1" x14ac:dyDescent="0.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S1297" s="31"/>
      <c r="T1297" s="31"/>
    </row>
    <row r="1298" spans="1:20" s="14" customFormat="1" x14ac:dyDescent="0.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S1298" s="31"/>
      <c r="T1298" s="31"/>
    </row>
    <row r="1299" spans="1:20" s="14" customFormat="1" x14ac:dyDescent="0.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S1299" s="31"/>
      <c r="T1299" s="31"/>
    </row>
    <row r="1300" spans="1:20" s="14" customFormat="1" x14ac:dyDescent="0.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S1300" s="31"/>
      <c r="T1300" s="31"/>
    </row>
    <row r="1301" spans="1:20" s="14" customFormat="1" x14ac:dyDescent="0.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S1301" s="31"/>
      <c r="T1301" s="31"/>
    </row>
    <row r="1302" spans="1:20" s="14" customFormat="1" x14ac:dyDescent="0.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S1302" s="31"/>
      <c r="T1302" s="31"/>
    </row>
    <row r="1303" spans="1:20" s="14" customFormat="1" x14ac:dyDescent="0.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S1303" s="31"/>
      <c r="T1303" s="31"/>
    </row>
    <row r="1304" spans="1:20" s="14" customFormat="1" x14ac:dyDescent="0.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S1304" s="31"/>
      <c r="T1304" s="31"/>
    </row>
    <row r="1305" spans="1:20" s="14" customFormat="1" x14ac:dyDescent="0.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S1305" s="31"/>
      <c r="T1305" s="31"/>
    </row>
    <row r="1306" spans="1:20" s="14" customFormat="1" x14ac:dyDescent="0.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S1306" s="31"/>
      <c r="T1306" s="31"/>
    </row>
    <row r="1307" spans="1:20" s="14" customFormat="1" x14ac:dyDescent="0.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S1307" s="31"/>
      <c r="T1307" s="31"/>
    </row>
    <row r="1308" spans="1:20" s="14" customFormat="1" x14ac:dyDescent="0.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S1308" s="31"/>
      <c r="T1308" s="31"/>
    </row>
    <row r="1309" spans="1:20" s="14" customFormat="1" x14ac:dyDescent="0.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S1309" s="31"/>
      <c r="T1309" s="31"/>
    </row>
    <row r="1310" spans="1:20" s="14" customFormat="1" x14ac:dyDescent="0.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S1310" s="31"/>
      <c r="T1310" s="31"/>
    </row>
    <row r="1311" spans="1:20" s="14" customFormat="1" x14ac:dyDescent="0.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S1311" s="31"/>
      <c r="T1311" s="31"/>
    </row>
    <row r="1312" spans="1:20" s="14" customFormat="1" x14ac:dyDescent="0.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S1312" s="31"/>
      <c r="T1312" s="31"/>
    </row>
    <row r="1313" spans="1:20" s="14" customFormat="1" x14ac:dyDescent="0.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S1313" s="31"/>
      <c r="T1313" s="31"/>
    </row>
    <row r="1314" spans="1:20" s="14" customFormat="1" x14ac:dyDescent="0.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S1314" s="31"/>
      <c r="T1314" s="31"/>
    </row>
    <row r="1315" spans="1:20" s="14" customFormat="1" x14ac:dyDescent="0.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S1315" s="31"/>
      <c r="T1315" s="31"/>
    </row>
    <row r="1316" spans="1:20" s="14" customFormat="1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S1316" s="31"/>
      <c r="T1316" s="31"/>
    </row>
    <row r="1317" spans="1:20" s="14" customFormat="1" x14ac:dyDescent="0.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S1317" s="31"/>
      <c r="T1317" s="31"/>
    </row>
    <row r="1318" spans="1:20" s="14" customFormat="1" x14ac:dyDescent="0.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S1318" s="31"/>
      <c r="T1318" s="31"/>
    </row>
    <row r="1319" spans="1:20" s="14" customFormat="1" x14ac:dyDescent="0.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S1319" s="31"/>
      <c r="T1319" s="31"/>
    </row>
    <row r="1320" spans="1:20" s="14" customFormat="1" x14ac:dyDescent="0.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S1320" s="31"/>
      <c r="T1320" s="31"/>
    </row>
    <row r="1321" spans="1:20" s="14" customFormat="1" x14ac:dyDescent="0.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S1321" s="31"/>
      <c r="T1321" s="31"/>
    </row>
    <row r="1322" spans="1:20" s="14" customFormat="1" x14ac:dyDescent="0.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S1322" s="31"/>
      <c r="T1322" s="31"/>
    </row>
    <row r="1323" spans="1:20" s="14" customFormat="1" x14ac:dyDescent="0.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S1323" s="31"/>
      <c r="T1323" s="31"/>
    </row>
    <row r="1324" spans="1:20" s="14" customFormat="1" x14ac:dyDescent="0.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S1324" s="31"/>
      <c r="T1324" s="31"/>
    </row>
    <row r="1325" spans="1:20" s="14" customFormat="1" x14ac:dyDescent="0.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S1325" s="31"/>
      <c r="T1325" s="31"/>
    </row>
    <row r="1326" spans="1:20" s="14" customFormat="1" x14ac:dyDescent="0.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S1326" s="31"/>
      <c r="T1326" s="31"/>
    </row>
    <row r="1327" spans="1:20" s="14" customFormat="1" x14ac:dyDescent="0.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S1327" s="31"/>
      <c r="T1327" s="31"/>
    </row>
    <row r="1328" spans="1:20" s="14" customFormat="1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S1328" s="31"/>
      <c r="T1328" s="31"/>
    </row>
    <row r="1329" spans="1:20" s="14" customFormat="1" x14ac:dyDescent="0.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S1329" s="31"/>
      <c r="T1329" s="31"/>
    </row>
    <row r="1330" spans="1:20" s="14" customFormat="1" x14ac:dyDescent="0.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S1330" s="31"/>
      <c r="T1330" s="31"/>
    </row>
    <row r="1331" spans="1:20" s="14" customFormat="1" x14ac:dyDescent="0.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S1331" s="31"/>
      <c r="T1331" s="31"/>
    </row>
    <row r="1332" spans="1:20" s="14" customFormat="1" x14ac:dyDescent="0.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S1332" s="31"/>
      <c r="T1332" s="31"/>
    </row>
    <row r="1333" spans="1:20" s="14" customFormat="1" x14ac:dyDescent="0.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S1333" s="31"/>
      <c r="T1333" s="31"/>
    </row>
    <row r="1334" spans="1:20" s="14" customFormat="1" x14ac:dyDescent="0.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S1334" s="31"/>
      <c r="T1334" s="31"/>
    </row>
    <row r="1335" spans="1:20" s="14" customFormat="1" x14ac:dyDescent="0.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S1335" s="31"/>
      <c r="T1335" s="31"/>
    </row>
    <row r="1336" spans="1:20" s="14" customFormat="1" x14ac:dyDescent="0.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S1336" s="31"/>
      <c r="T1336" s="31"/>
    </row>
    <row r="1337" spans="1:20" s="14" customFormat="1" x14ac:dyDescent="0.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S1337" s="31"/>
      <c r="T1337" s="31"/>
    </row>
    <row r="1338" spans="1:20" s="14" customFormat="1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S1338" s="31"/>
      <c r="T1338" s="31"/>
    </row>
    <row r="1339" spans="1:20" s="14" customFormat="1" x14ac:dyDescent="0.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S1339" s="31"/>
      <c r="T1339" s="31"/>
    </row>
    <row r="1340" spans="1:20" s="14" customFormat="1" x14ac:dyDescent="0.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S1340" s="31"/>
      <c r="T1340" s="31"/>
    </row>
    <row r="1341" spans="1:20" s="14" customFormat="1" x14ac:dyDescent="0.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S1341" s="31"/>
      <c r="T1341" s="31"/>
    </row>
    <row r="1342" spans="1:20" s="14" customFormat="1" x14ac:dyDescent="0.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S1342" s="31"/>
      <c r="T1342" s="31"/>
    </row>
    <row r="1343" spans="1:20" s="14" customFormat="1" x14ac:dyDescent="0.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S1343" s="31"/>
      <c r="T1343" s="31"/>
    </row>
    <row r="1344" spans="1:20" s="14" customFormat="1" x14ac:dyDescent="0.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S1344" s="31"/>
      <c r="T1344" s="31"/>
    </row>
    <row r="1345" spans="1:20" s="14" customFormat="1" x14ac:dyDescent="0.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S1345" s="31"/>
      <c r="T1345" s="31"/>
    </row>
    <row r="1346" spans="1:20" s="14" customFormat="1" x14ac:dyDescent="0.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S1346" s="31"/>
      <c r="T1346" s="31"/>
    </row>
    <row r="1347" spans="1:20" s="14" customFormat="1" x14ac:dyDescent="0.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S1347" s="31"/>
      <c r="T1347" s="31"/>
    </row>
    <row r="1348" spans="1:20" s="14" customFormat="1" x14ac:dyDescent="0.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S1348" s="31"/>
      <c r="T1348" s="31"/>
    </row>
    <row r="1349" spans="1:20" s="14" customFormat="1" x14ac:dyDescent="0.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S1349" s="31"/>
      <c r="T1349" s="31"/>
    </row>
    <row r="1350" spans="1:20" s="14" customFormat="1" x14ac:dyDescent="0.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S1350" s="31"/>
      <c r="T1350" s="31"/>
    </row>
    <row r="1351" spans="1:20" s="14" customFormat="1" x14ac:dyDescent="0.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S1351" s="31"/>
      <c r="T1351" s="31"/>
    </row>
    <row r="1352" spans="1:20" s="14" customFormat="1" x14ac:dyDescent="0.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S1352" s="31"/>
      <c r="T1352" s="31"/>
    </row>
    <row r="1353" spans="1:20" s="14" customFormat="1" x14ac:dyDescent="0.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S1353" s="31"/>
      <c r="T1353" s="31"/>
    </row>
    <row r="1354" spans="1:20" s="14" customFormat="1" x14ac:dyDescent="0.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S1354" s="31"/>
      <c r="T1354" s="31"/>
    </row>
    <row r="1355" spans="1:20" s="14" customFormat="1" x14ac:dyDescent="0.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S1355" s="31"/>
      <c r="T1355" s="31"/>
    </row>
    <row r="1356" spans="1:20" s="14" customFormat="1" x14ac:dyDescent="0.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S1356" s="31"/>
      <c r="T1356" s="31"/>
    </row>
    <row r="1357" spans="1:20" s="14" customFormat="1" x14ac:dyDescent="0.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S1357" s="31"/>
      <c r="T1357" s="31"/>
    </row>
    <row r="1358" spans="1:20" s="14" customFormat="1" x14ac:dyDescent="0.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S1358" s="31"/>
      <c r="T1358" s="31"/>
    </row>
    <row r="1359" spans="1:20" s="14" customFormat="1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S1359" s="31"/>
      <c r="T1359" s="31"/>
    </row>
    <row r="1360" spans="1:20" s="14" customFormat="1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S1360" s="31"/>
      <c r="T1360" s="31"/>
    </row>
    <row r="1361" spans="1:20" s="14" customFormat="1" x14ac:dyDescent="0.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S1361" s="31"/>
      <c r="T1361" s="31"/>
    </row>
    <row r="1362" spans="1:20" s="14" customFormat="1" x14ac:dyDescent="0.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S1362" s="31"/>
      <c r="T1362" s="31"/>
    </row>
    <row r="1363" spans="1:20" s="14" customFormat="1" x14ac:dyDescent="0.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S1363" s="31"/>
      <c r="T1363" s="31"/>
    </row>
    <row r="1364" spans="1:20" s="14" customFormat="1" x14ac:dyDescent="0.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S1364" s="31"/>
      <c r="T1364" s="31"/>
    </row>
    <row r="1365" spans="1:20" s="14" customFormat="1" x14ac:dyDescent="0.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S1365" s="31"/>
      <c r="T1365" s="31"/>
    </row>
    <row r="1366" spans="1:20" s="14" customFormat="1" x14ac:dyDescent="0.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S1366" s="31"/>
      <c r="T1366" s="31"/>
    </row>
    <row r="1367" spans="1:20" s="14" customFormat="1" x14ac:dyDescent="0.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S1367" s="31"/>
      <c r="T1367" s="31"/>
    </row>
    <row r="1368" spans="1:20" s="14" customFormat="1" x14ac:dyDescent="0.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S1368" s="31"/>
      <c r="T1368" s="31"/>
    </row>
    <row r="1369" spans="1:20" s="14" customFormat="1" x14ac:dyDescent="0.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S1369" s="31"/>
      <c r="T1369" s="31"/>
    </row>
    <row r="1370" spans="1:20" s="14" customFormat="1" x14ac:dyDescent="0.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S1370" s="31"/>
      <c r="T1370" s="31"/>
    </row>
    <row r="1371" spans="1:20" s="14" customFormat="1" x14ac:dyDescent="0.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S1371" s="31"/>
      <c r="T1371" s="31"/>
    </row>
    <row r="1372" spans="1:20" s="14" customFormat="1" x14ac:dyDescent="0.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S1372" s="31"/>
      <c r="T1372" s="31"/>
    </row>
    <row r="1373" spans="1:20" s="14" customFormat="1" x14ac:dyDescent="0.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S1373" s="31"/>
      <c r="T1373" s="31"/>
    </row>
    <row r="1374" spans="1:20" s="14" customFormat="1" x14ac:dyDescent="0.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S1374" s="31"/>
      <c r="T1374" s="31"/>
    </row>
    <row r="1375" spans="1:20" s="14" customFormat="1" x14ac:dyDescent="0.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S1375" s="31"/>
      <c r="T1375" s="31"/>
    </row>
    <row r="1376" spans="1:20" s="14" customFormat="1" x14ac:dyDescent="0.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S1376" s="31"/>
      <c r="T1376" s="31"/>
    </row>
    <row r="1377" spans="1:20" s="14" customFormat="1" x14ac:dyDescent="0.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S1377" s="31"/>
      <c r="T1377" s="31"/>
    </row>
    <row r="1378" spans="1:20" s="14" customFormat="1" x14ac:dyDescent="0.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S1378" s="31"/>
      <c r="T1378" s="31"/>
    </row>
    <row r="1379" spans="1:20" s="14" customFormat="1" x14ac:dyDescent="0.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S1379" s="31"/>
      <c r="T1379" s="31"/>
    </row>
    <row r="1380" spans="1:20" s="14" customFormat="1" x14ac:dyDescent="0.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S1380" s="31"/>
      <c r="T1380" s="31"/>
    </row>
    <row r="1381" spans="1:20" s="14" customFormat="1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S1381" s="31"/>
      <c r="T1381" s="31"/>
    </row>
    <row r="1382" spans="1:20" s="14" customFormat="1" x14ac:dyDescent="0.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S1382" s="31"/>
      <c r="T1382" s="31"/>
    </row>
    <row r="1383" spans="1:20" s="14" customFormat="1" x14ac:dyDescent="0.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S1383" s="31"/>
      <c r="T1383" s="31"/>
    </row>
    <row r="1384" spans="1:20" s="14" customFormat="1" x14ac:dyDescent="0.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S1384" s="31"/>
      <c r="T1384" s="31"/>
    </row>
    <row r="1385" spans="1:20" s="14" customFormat="1" x14ac:dyDescent="0.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S1385" s="31"/>
      <c r="T1385" s="31"/>
    </row>
    <row r="1386" spans="1:20" s="14" customFormat="1" x14ac:dyDescent="0.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S1386" s="31"/>
      <c r="T1386" s="31"/>
    </row>
    <row r="1387" spans="1:20" s="14" customFormat="1" x14ac:dyDescent="0.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S1387" s="31"/>
      <c r="T1387" s="31"/>
    </row>
    <row r="1388" spans="1:20" s="14" customFormat="1" x14ac:dyDescent="0.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S1388" s="31"/>
      <c r="T1388" s="31"/>
    </row>
    <row r="1389" spans="1:20" s="14" customFormat="1" x14ac:dyDescent="0.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S1389" s="31"/>
      <c r="T1389" s="31"/>
    </row>
    <row r="1390" spans="1:20" s="14" customFormat="1" x14ac:dyDescent="0.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S1390" s="31"/>
      <c r="T1390" s="31"/>
    </row>
    <row r="1391" spans="1:20" s="14" customFormat="1" x14ac:dyDescent="0.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S1391" s="31"/>
      <c r="T1391" s="31"/>
    </row>
    <row r="1392" spans="1:20" s="14" customFormat="1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S1392" s="31"/>
      <c r="T1392" s="31"/>
    </row>
    <row r="1393" spans="1:20" s="14" customFormat="1" x14ac:dyDescent="0.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S1393" s="31"/>
      <c r="T1393" s="31"/>
    </row>
    <row r="1394" spans="1:20" s="14" customFormat="1" x14ac:dyDescent="0.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S1394" s="31"/>
      <c r="T1394" s="31"/>
    </row>
    <row r="1395" spans="1:20" s="14" customFormat="1" x14ac:dyDescent="0.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S1395" s="31"/>
      <c r="T1395" s="31"/>
    </row>
    <row r="1396" spans="1:20" s="14" customFormat="1" x14ac:dyDescent="0.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S1396" s="31"/>
      <c r="T1396" s="31"/>
    </row>
    <row r="1397" spans="1:20" s="14" customFormat="1" x14ac:dyDescent="0.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S1397" s="31"/>
      <c r="T1397" s="31"/>
    </row>
    <row r="1398" spans="1:20" s="14" customFormat="1" x14ac:dyDescent="0.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S1398" s="31"/>
      <c r="T1398" s="31"/>
    </row>
    <row r="1399" spans="1:20" s="14" customFormat="1" x14ac:dyDescent="0.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S1399" s="31"/>
      <c r="T1399" s="31"/>
    </row>
    <row r="1400" spans="1:20" s="14" customFormat="1" x14ac:dyDescent="0.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S1400" s="31"/>
      <c r="T1400" s="31"/>
    </row>
    <row r="1401" spans="1:20" s="14" customFormat="1" x14ac:dyDescent="0.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S1401" s="31"/>
      <c r="T1401" s="31"/>
    </row>
    <row r="1402" spans="1:20" s="14" customFormat="1" x14ac:dyDescent="0.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S1402" s="31"/>
      <c r="T1402" s="31"/>
    </row>
    <row r="1403" spans="1:20" s="14" customFormat="1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S1403" s="31"/>
      <c r="T1403" s="31"/>
    </row>
    <row r="1404" spans="1:20" s="14" customFormat="1" x14ac:dyDescent="0.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S1404" s="31"/>
      <c r="T1404" s="31"/>
    </row>
    <row r="1405" spans="1:20" s="14" customFormat="1" x14ac:dyDescent="0.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S1405" s="31"/>
      <c r="T1405" s="31"/>
    </row>
    <row r="1406" spans="1:20" s="14" customFormat="1" x14ac:dyDescent="0.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S1406" s="31"/>
      <c r="T1406" s="31"/>
    </row>
    <row r="1407" spans="1:20" s="14" customFormat="1" x14ac:dyDescent="0.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S1407" s="31"/>
      <c r="T1407" s="31"/>
    </row>
    <row r="1408" spans="1:20" s="14" customFormat="1" x14ac:dyDescent="0.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S1408" s="31"/>
      <c r="T1408" s="31"/>
    </row>
    <row r="1409" spans="1:20" s="14" customFormat="1" x14ac:dyDescent="0.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S1409" s="31"/>
      <c r="T1409" s="31"/>
    </row>
    <row r="1410" spans="1:20" s="14" customFormat="1" x14ac:dyDescent="0.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S1410" s="31"/>
      <c r="T1410" s="31"/>
    </row>
    <row r="1411" spans="1:20" s="14" customFormat="1" x14ac:dyDescent="0.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S1411" s="31"/>
      <c r="T1411" s="31"/>
    </row>
    <row r="1412" spans="1:20" s="14" customFormat="1" x14ac:dyDescent="0.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S1412" s="31"/>
      <c r="T1412" s="31"/>
    </row>
    <row r="1413" spans="1:20" s="14" customFormat="1" x14ac:dyDescent="0.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S1413" s="31"/>
      <c r="T1413" s="31"/>
    </row>
    <row r="1414" spans="1:20" s="14" customFormat="1" x14ac:dyDescent="0.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S1414" s="31"/>
      <c r="T1414" s="31"/>
    </row>
    <row r="1415" spans="1:20" s="14" customFormat="1" x14ac:dyDescent="0.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S1415" s="31"/>
      <c r="T1415" s="31"/>
    </row>
    <row r="1416" spans="1:20" s="14" customFormat="1" x14ac:dyDescent="0.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S1416" s="31"/>
      <c r="T1416" s="31"/>
    </row>
    <row r="1417" spans="1:20" s="14" customFormat="1" x14ac:dyDescent="0.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S1417" s="31"/>
      <c r="T1417" s="31"/>
    </row>
    <row r="1418" spans="1:20" s="14" customFormat="1" x14ac:dyDescent="0.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S1418" s="31"/>
      <c r="T1418" s="31"/>
    </row>
    <row r="1419" spans="1:20" s="14" customFormat="1" x14ac:dyDescent="0.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S1419" s="31"/>
      <c r="T1419" s="31"/>
    </row>
    <row r="1420" spans="1:20" s="14" customFormat="1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S1420" s="31"/>
      <c r="T1420" s="31"/>
    </row>
    <row r="1421" spans="1:20" s="14" customFormat="1" x14ac:dyDescent="0.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S1421" s="31"/>
      <c r="T1421" s="31"/>
    </row>
    <row r="1422" spans="1:20" s="14" customFormat="1" x14ac:dyDescent="0.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S1422" s="31"/>
      <c r="T1422" s="31"/>
    </row>
    <row r="1423" spans="1:20" s="14" customFormat="1" x14ac:dyDescent="0.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S1423" s="31"/>
      <c r="T1423" s="31"/>
    </row>
    <row r="1424" spans="1:20" s="14" customFormat="1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S1424" s="31"/>
      <c r="T1424" s="31"/>
    </row>
    <row r="1425" spans="1:20" s="14" customFormat="1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S1425" s="31"/>
      <c r="T1425" s="31"/>
    </row>
    <row r="1426" spans="1:20" s="14" customFormat="1" x14ac:dyDescent="0.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S1426" s="31"/>
      <c r="T1426" s="31"/>
    </row>
    <row r="1427" spans="1:20" s="14" customFormat="1" x14ac:dyDescent="0.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S1427" s="31"/>
      <c r="T1427" s="31"/>
    </row>
    <row r="1428" spans="1:20" s="14" customFormat="1" x14ac:dyDescent="0.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S1428" s="31"/>
      <c r="T1428" s="31"/>
    </row>
    <row r="1429" spans="1:20" s="14" customFormat="1" x14ac:dyDescent="0.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S1429" s="31"/>
      <c r="T1429" s="31"/>
    </row>
    <row r="1430" spans="1:20" s="14" customFormat="1" x14ac:dyDescent="0.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S1430" s="31"/>
      <c r="T1430" s="31"/>
    </row>
    <row r="1431" spans="1:20" s="14" customFormat="1" x14ac:dyDescent="0.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S1431" s="31"/>
      <c r="T1431" s="31"/>
    </row>
    <row r="1432" spans="1:20" s="14" customFormat="1" x14ac:dyDescent="0.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S1432" s="31"/>
      <c r="T1432" s="31"/>
    </row>
    <row r="1433" spans="1:20" s="14" customFormat="1" x14ac:dyDescent="0.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S1433" s="31"/>
      <c r="T1433" s="31"/>
    </row>
    <row r="1434" spans="1:20" s="14" customFormat="1" x14ac:dyDescent="0.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S1434" s="31"/>
      <c r="T1434" s="31"/>
    </row>
    <row r="1435" spans="1:20" s="14" customFormat="1" x14ac:dyDescent="0.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S1435" s="31"/>
      <c r="T1435" s="31"/>
    </row>
    <row r="1436" spans="1:20" s="14" customFormat="1" x14ac:dyDescent="0.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S1436" s="31"/>
      <c r="T1436" s="31"/>
    </row>
    <row r="1437" spans="1:20" s="14" customFormat="1" x14ac:dyDescent="0.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S1437" s="31"/>
      <c r="T1437" s="31"/>
    </row>
    <row r="1438" spans="1:20" s="14" customFormat="1" x14ac:dyDescent="0.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S1438" s="31"/>
      <c r="T1438" s="31"/>
    </row>
    <row r="1439" spans="1:20" s="14" customFormat="1" x14ac:dyDescent="0.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S1439" s="31"/>
      <c r="T1439" s="31"/>
    </row>
    <row r="1440" spans="1:20" s="14" customFormat="1" x14ac:dyDescent="0.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S1440" s="31"/>
      <c r="T1440" s="31"/>
    </row>
    <row r="1441" spans="1:20" s="14" customFormat="1" x14ac:dyDescent="0.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S1441" s="31"/>
      <c r="T1441" s="31"/>
    </row>
    <row r="1442" spans="1:20" s="14" customFormat="1" x14ac:dyDescent="0.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S1442" s="31"/>
      <c r="T1442" s="31"/>
    </row>
    <row r="1443" spans="1:20" s="14" customFormat="1" x14ac:dyDescent="0.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S1443" s="31"/>
      <c r="T1443" s="31"/>
    </row>
    <row r="1444" spans="1:20" s="14" customFormat="1" x14ac:dyDescent="0.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S1444" s="31"/>
      <c r="T1444" s="31"/>
    </row>
    <row r="1445" spans="1:20" s="14" customFormat="1" x14ac:dyDescent="0.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S1445" s="31"/>
      <c r="T1445" s="31"/>
    </row>
    <row r="1446" spans="1:20" s="14" customFormat="1" x14ac:dyDescent="0.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S1446" s="31"/>
      <c r="T1446" s="31"/>
    </row>
    <row r="1447" spans="1:20" s="14" customFormat="1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S1447" s="31"/>
      <c r="T1447" s="31"/>
    </row>
    <row r="1448" spans="1:20" s="14" customFormat="1" x14ac:dyDescent="0.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S1448" s="31"/>
      <c r="T1448" s="31"/>
    </row>
    <row r="1449" spans="1:20" s="14" customFormat="1" x14ac:dyDescent="0.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S1449" s="31"/>
      <c r="T1449" s="31"/>
    </row>
    <row r="1450" spans="1:20" s="14" customFormat="1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S1450" s="31"/>
      <c r="T1450" s="31"/>
    </row>
    <row r="1451" spans="1:20" s="14" customFormat="1" x14ac:dyDescent="0.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S1451" s="31"/>
      <c r="T1451" s="31"/>
    </row>
    <row r="1452" spans="1:20" s="14" customFormat="1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S1452" s="31"/>
      <c r="T1452" s="31"/>
    </row>
    <row r="1453" spans="1:20" s="14" customFormat="1" x14ac:dyDescent="0.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S1453" s="31"/>
      <c r="T1453" s="31"/>
    </row>
    <row r="1454" spans="1:20" s="14" customFormat="1" x14ac:dyDescent="0.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S1454" s="31"/>
      <c r="T1454" s="31"/>
    </row>
    <row r="1455" spans="1:20" s="14" customFormat="1" x14ac:dyDescent="0.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S1455" s="31"/>
      <c r="T1455" s="31"/>
    </row>
    <row r="1456" spans="1:20" s="14" customFormat="1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S1456" s="31"/>
      <c r="T1456" s="31"/>
    </row>
    <row r="1457" spans="1:20" s="14" customFormat="1" x14ac:dyDescent="0.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S1457" s="31"/>
      <c r="T1457" s="31"/>
    </row>
    <row r="1458" spans="1:20" s="14" customFormat="1" x14ac:dyDescent="0.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S1458" s="31"/>
      <c r="T1458" s="31"/>
    </row>
    <row r="1459" spans="1:20" s="14" customFormat="1" x14ac:dyDescent="0.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S1459" s="31"/>
      <c r="T1459" s="31"/>
    </row>
    <row r="1460" spans="1:20" s="14" customFormat="1" x14ac:dyDescent="0.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S1460" s="31"/>
      <c r="T1460" s="31"/>
    </row>
    <row r="1461" spans="1:20" s="14" customFormat="1" x14ac:dyDescent="0.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S1461" s="31"/>
      <c r="T1461" s="31"/>
    </row>
    <row r="1462" spans="1:20" s="14" customFormat="1" x14ac:dyDescent="0.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S1462" s="31"/>
      <c r="T1462" s="31"/>
    </row>
    <row r="1463" spans="1:20" s="14" customFormat="1" x14ac:dyDescent="0.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S1463" s="31"/>
      <c r="T1463" s="31"/>
    </row>
    <row r="1464" spans="1:20" s="14" customFormat="1" x14ac:dyDescent="0.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S1464" s="31"/>
      <c r="T1464" s="31"/>
    </row>
    <row r="1465" spans="1:20" s="14" customFormat="1" x14ac:dyDescent="0.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S1465" s="31"/>
      <c r="T1465" s="31"/>
    </row>
    <row r="1466" spans="1:20" s="14" customFormat="1" x14ac:dyDescent="0.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S1466" s="31"/>
      <c r="T1466" s="31"/>
    </row>
    <row r="1467" spans="1:20" s="14" customFormat="1" x14ac:dyDescent="0.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S1467" s="31"/>
      <c r="T1467" s="31"/>
    </row>
    <row r="1468" spans="1:20" s="14" customFormat="1" x14ac:dyDescent="0.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S1468" s="31"/>
      <c r="T1468" s="31"/>
    </row>
    <row r="1469" spans="1:20" s="14" customFormat="1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S1469" s="31"/>
      <c r="T1469" s="31"/>
    </row>
    <row r="1470" spans="1:20" s="14" customFormat="1" x14ac:dyDescent="0.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S1470" s="31"/>
      <c r="T1470" s="31"/>
    </row>
    <row r="1471" spans="1:20" s="14" customFormat="1" x14ac:dyDescent="0.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S1471" s="31"/>
      <c r="T1471" s="31"/>
    </row>
    <row r="1472" spans="1:20" s="14" customFormat="1" x14ac:dyDescent="0.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S1472" s="31"/>
      <c r="T1472" s="31"/>
    </row>
    <row r="1473" spans="1:20" s="14" customFormat="1" x14ac:dyDescent="0.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S1473" s="31"/>
      <c r="T1473" s="31"/>
    </row>
    <row r="1474" spans="1:20" s="14" customFormat="1" x14ac:dyDescent="0.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S1474" s="31"/>
      <c r="T1474" s="31"/>
    </row>
    <row r="1475" spans="1:20" s="14" customFormat="1" x14ac:dyDescent="0.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S1475" s="31"/>
      <c r="T1475" s="31"/>
    </row>
    <row r="1476" spans="1:20" s="14" customFormat="1" x14ac:dyDescent="0.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S1476" s="31"/>
      <c r="T1476" s="31"/>
    </row>
    <row r="1477" spans="1:20" s="14" customFormat="1" x14ac:dyDescent="0.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S1477" s="31"/>
      <c r="T1477" s="31"/>
    </row>
    <row r="1478" spans="1:20" s="14" customFormat="1" x14ac:dyDescent="0.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S1478" s="31"/>
      <c r="T1478" s="31"/>
    </row>
    <row r="1479" spans="1:20" s="14" customFormat="1" x14ac:dyDescent="0.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S1479" s="31"/>
      <c r="T1479" s="31"/>
    </row>
    <row r="1480" spans="1:20" s="14" customFormat="1" x14ac:dyDescent="0.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S1480" s="31"/>
      <c r="T1480" s="31"/>
    </row>
    <row r="1481" spans="1:20" s="14" customFormat="1" x14ac:dyDescent="0.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S1481" s="31"/>
      <c r="T1481" s="31"/>
    </row>
    <row r="1482" spans="1:20" s="14" customFormat="1" x14ac:dyDescent="0.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S1482" s="31"/>
      <c r="T1482" s="31"/>
    </row>
    <row r="1483" spans="1:20" s="14" customFormat="1" x14ac:dyDescent="0.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S1483" s="31"/>
      <c r="T1483" s="31"/>
    </row>
    <row r="1484" spans="1:20" s="14" customFormat="1" x14ac:dyDescent="0.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S1484" s="31"/>
      <c r="T1484" s="31"/>
    </row>
    <row r="1485" spans="1:20" s="14" customFormat="1" x14ac:dyDescent="0.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S1485" s="31"/>
      <c r="T1485" s="31"/>
    </row>
    <row r="1486" spans="1:20" s="14" customFormat="1" x14ac:dyDescent="0.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S1486" s="31"/>
      <c r="T1486" s="31"/>
    </row>
    <row r="1487" spans="1:20" s="14" customFormat="1" x14ac:dyDescent="0.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S1487" s="31"/>
      <c r="T1487" s="31"/>
    </row>
    <row r="1488" spans="1:20" s="14" customFormat="1" x14ac:dyDescent="0.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S1488" s="31"/>
      <c r="T1488" s="31"/>
    </row>
    <row r="1489" spans="1:20" s="14" customFormat="1" x14ac:dyDescent="0.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S1489" s="31"/>
      <c r="T1489" s="31"/>
    </row>
    <row r="1490" spans="1:20" s="14" customFormat="1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S1490" s="31"/>
      <c r="T1490" s="31"/>
    </row>
    <row r="1491" spans="1:20" s="14" customFormat="1" x14ac:dyDescent="0.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S1491" s="31"/>
      <c r="T1491" s="31"/>
    </row>
    <row r="1492" spans="1:20" s="14" customFormat="1" x14ac:dyDescent="0.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S1492" s="31"/>
      <c r="T1492" s="31"/>
    </row>
    <row r="1493" spans="1:20" s="14" customFormat="1" x14ac:dyDescent="0.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S1493" s="31"/>
      <c r="T1493" s="31"/>
    </row>
    <row r="1494" spans="1:20" s="14" customFormat="1" x14ac:dyDescent="0.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S1494" s="31"/>
      <c r="T1494" s="31"/>
    </row>
    <row r="1495" spans="1:20" s="14" customFormat="1" x14ac:dyDescent="0.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S1495" s="31"/>
      <c r="T1495" s="31"/>
    </row>
    <row r="1496" spans="1:20" s="14" customFormat="1" x14ac:dyDescent="0.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S1496" s="31"/>
      <c r="T1496" s="31"/>
    </row>
    <row r="1497" spans="1:20" s="14" customFormat="1" x14ac:dyDescent="0.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S1497" s="31"/>
      <c r="T1497" s="31"/>
    </row>
    <row r="1498" spans="1:20" s="14" customFormat="1" x14ac:dyDescent="0.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S1498" s="31"/>
      <c r="T1498" s="31"/>
    </row>
    <row r="1499" spans="1:20" s="14" customFormat="1" x14ac:dyDescent="0.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S1499" s="31"/>
      <c r="T1499" s="31"/>
    </row>
    <row r="1500" spans="1:20" s="14" customFormat="1" x14ac:dyDescent="0.3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S1500" s="31"/>
      <c r="T1500" s="31"/>
    </row>
    <row r="1501" spans="1:20" s="14" customFormat="1" x14ac:dyDescent="0.3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S1501" s="31"/>
      <c r="T1501" s="31"/>
    </row>
    <row r="1502" spans="1:20" s="14" customFormat="1" x14ac:dyDescent="0.3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S1502" s="31"/>
      <c r="T1502" s="31"/>
    </row>
    <row r="1503" spans="1:20" s="14" customFormat="1" x14ac:dyDescent="0.3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S1503" s="31"/>
      <c r="T1503" s="31"/>
    </row>
    <row r="1504" spans="1:20" s="14" customFormat="1" x14ac:dyDescent="0.3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S1504" s="31"/>
      <c r="T1504" s="31"/>
    </row>
    <row r="1505" spans="1:20" s="14" customFormat="1" x14ac:dyDescent="0.3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S1505" s="31"/>
      <c r="T1505" s="31"/>
    </row>
    <row r="1506" spans="1:20" s="14" customFormat="1" x14ac:dyDescent="0.3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S1506" s="31"/>
      <c r="T1506" s="31"/>
    </row>
    <row r="1507" spans="1:20" s="14" customFormat="1" x14ac:dyDescent="0.3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S1507" s="31"/>
      <c r="T1507" s="31"/>
    </row>
    <row r="1508" spans="1:20" s="14" customFormat="1" x14ac:dyDescent="0.3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S1508" s="31"/>
      <c r="T1508" s="31"/>
    </row>
    <row r="1509" spans="1:20" s="14" customFormat="1" x14ac:dyDescent="0.3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S1509" s="31"/>
      <c r="T1509" s="31"/>
    </row>
    <row r="1510" spans="1:20" s="14" customFormat="1" x14ac:dyDescent="0.3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S1510" s="31"/>
      <c r="T1510" s="31"/>
    </row>
    <row r="1511" spans="1:20" s="14" customFormat="1" x14ac:dyDescent="0.3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S1511" s="31"/>
      <c r="T1511" s="31"/>
    </row>
    <row r="1512" spans="1:20" s="14" customFormat="1" x14ac:dyDescent="0.3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S1512" s="31"/>
      <c r="T1512" s="31"/>
    </row>
    <row r="1513" spans="1:20" s="14" customFormat="1" x14ac:dyDescent="0.3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S1513" s="31"/>
      <c r="T1513" s="31"/>
    </row>
    <row r="1514" spans="1:20" s="14" customFormat="1" x14ac:dyDescent="0.3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S1514" s="31"/>
      <c r="T1514" s="31"/>
    </row>
    <row r="1515" spans="1:20" s="14" customFormat="1" x14ac:dyDescent="0.3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S1515" s="31"/>
      <c r="T1515" s="31"/>
    </row>
    <row r="1516" spans="1:20" s="14" customFormat="1" x14ac:dyDescent="0.3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S1516" s="31"/>
      <c r="T1516" s="31"/>
    </row>
    <row r="1517" spans="1:20" s="14" customFormat="1" x14ac:dyDescent="0.3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S1517" s="31"/>
      <c r="T1517" s="31"/>
    </row>
    <row r="1518" spans="1:20" s="14" customFormat="1" x14ac:dyDescent="0.3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S1518" s="31"/>
      <c r="T1518" s="31"/>
    </row>
    <row r="1519" spans="1:20" s="14" customFormat="1" x14ac:dyDescent="0.3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S1519" s="31"/>
      <c r="T1519" s="31"/>
    </row>
    <row r="1520" spans="1:20" s="14" customFormat="1" x14ac:dyDescent="0.3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S1520" s="31"/>
      <c r="T1520" s="31"/>
    </row>
    <row r="1521" spans="1:20" s="14" customFormat="1" x14ac:dyDescent="0.3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S1521" s="31"/>
      <c r="T1521" s="31"/>
    </row>
    <row r="1522" spans="1:20" s="14" customFormat="1" x14ac:dyDescent="0.3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S1522" s="31"/>
      <c r="T1522" s="31"/>
    </row>
    <row r="1523" spans="1:20" s="14" customFormat="1" x14ac:dyDescent="0.3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S1523" s="31"/>
      <c r="T1523" s="31"/>
    </row>
    <row r="1524" spans="1:20" s="14" customFormat="1" x14ac:dyDescent="0.3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S1524" s="31"/>
      <c r="T1524" s="31"/>
    </row>
    <row r="1525" spans="1:20" s="14" customFormat="1" x14ac:dyDescent="0.3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S1525" s="31"/>
      <c r="T1525" s="31"/>
    </row>
    <row r="1526" spans="1:20" s="14" customFormat="1" x14ac:dyDescent="0.3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S1526" s="31"/>
      <c r="T1526" s="31"/>
    </row>
    <row r="1527" spans="1:20" s="14" customFormat="1" x14ac:dyDescent="0.3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S1527" s="31"/>
      <c r="T1527" s="31"/>
    </row>
    <row r="1528" spans="1:20" s="14" customFormat="1" x14ac:dyDescent="0.3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S1528" s="31"/>
      <c r="T1528" s="31"/>
    </row>
    <row r="1529" spans="1:20" s="14" customFormat="1" x14ac:dyDescent="0.3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S1529" s="31"/>
      <c r="T1529" s="31"/>
    </row>
    <row r="1530" spans="1:20" s="14" customFormat="1" x14ac:dyDescent="0.3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S1530" s="31"/>
      <c r="T1530" s="31"/>
    </row>
    <row r="1531" spans="1:20" s="14" customFormat="1" x14ac:dyDescent="0.3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S1531" s="31"/>
      <c r="T1531" s="31"/>
    </row>
    <row r="1532" spans="1:20" s="14" customFormat="1" x14ac:dyDescent="0.3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S1532" s="31"/>
      <c r="T1532" s="31"/>
    </row>
    <row r="1533" spans="1:20" s="14" customFormat="1" x14ac:dyDescent="0.3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S1533" s="31"/>
      <c r="T1533" s="31"/>
    </row>
    <row r="1534" spans="1:20" s="14" customFormat="1" x14ac:dyDescent="0.3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S1534" s="31"/>
      <c r="T1534" s="31"/>
    </row>
    <row r="1535" spans="1:20" s="14" customFormat="1" x14ac:dyDescent="0.3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S1535" s="31"/>
      <c r="T1535" s="31"/>
    </row>
    <row r="1536" spans="1:20" s="14" customFormat="1" x14ac:dyDescent="0.3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S1536" s="31"/>
      <c r="T1536" s="31"/>
    </row>
    <row r="1537" spans="1:20" s="14" customFormat="1" x14ac:dyDescent="0.3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S1537" s="31"/>
      <c r="T1537" s="31"/>
    </row>
    <row r="1538" spans="1:20" s="14" customFormat="1" x14ac:dyDescent="0.3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S1538" s="31"/>
      <c r="T1538" s="31"/>
    </row>
    <row r="1539" spans="1:20" s="14" customFormat="1" x14ac:dyDescent="0.3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S1539" s="31"/>
      <c r="T1539" s="31"/>
    </row>
    <row r="1540" spans="1:20" s="14" customFormat="1" x14ac:dyDescent="0.3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S1540" s="31"/>
      <c r="T1540" s="31"/>
    </row>
    <row r="1541" spans="1:20" s="14" customFormat="1" x14ac:dyDescent="0.3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S1541" s="31"/>
      <c r="T1541" s="31"/>
    </row>
    <row r="1542" spans="1:20" s="14" customFormat="1" x14ac:dyDescent="0.3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S1542" s="31"/>
      <c r="T1542" s="31"/>
    </row>
    <row r="1543" spans="1:20" s="14" customFormat="1" x14ac:dyDescent="0.3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S1543" s="31"/>
      <c r="T1543" s="31"/>
    </row>
    <row r="1544" spans="1:20" s="14" customFormat="1" x14ac:dyDescent="0.3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S1544" s="31"/>
      <c r="T1544" s="31"/>
    </row>
    <row r="1545" spans="1:20" s="14" customFormat="1" x14ac:dyDescent="0.3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S1545" s="31"/>
      <c r="T1545" s="31"/>
    </row>
    <row r="1546" spans="1:20" s="14" customFormat="1" x14ac:dyDescent="0.3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S1546" s="31"/>
      <c r="T1546" s="31"/>
    </row>
    <row r="1547" spans="1:20" s="14" customFormat="1" x14ac:dyDescent="0.3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S1547" s="31"/>
      <c r="T1547" s="31"/>
    </row>
    <row r="1548" spans="1:20" s="14" customFormat="1" x14ac:dyDescent="0.3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S1548" s="31"/>
      <c r="T1548" s="31"/>
    </row>
    <row r="1549" spans="1:20" s="14" customFormat="1" x14ac:dyDescent="0.3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S1549" s="31"/>
      <c r="T1549" s="31"/>
    </row>
    <row r="1550" spans="1:20" s="14" customFormat="1" x14ac:dyDescent="0.3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S1550" s="31"/>
      <c r="T1550" s="31"/>
    </row>
    <row r="1551" spans="1:20" s="14" customFormat="1" x14ac:dyDescent="0.3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S1551" s="31"/>
      <c r="T1551" s="31"/>
    </row>
    <row r="1552" spans="1:20" s="14" customFormat="1" x14ac:dyDescent="0.3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S1552" s="31"/>
      <c r="T1552" s="31"/>
    </row>
    <row r="1553" spans="1:20" s="14" customFormat="1" x14ac:dyDescent="0.3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S1553" s="31"/>
      <c r="T1553" s="31"/>
    </row>
    <row r="1554" spans="1:20" s="14" customFormat="1" x14ac:dyDescent="0.3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S1554" s="31"/>
      <c r="T1554" s="31"/>
    </row>
    <row r="1555" spans="1:20" s="14" customFormat="1" x14ac:dyDescent="0.3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S1555" s="31"/>
      <c r="T1555" s="31"/>
    </row>
    <row r="1556" spans="1:20" s="14" customFormat="1" x14ac:dyDescent="0.3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S1556" s="31"/>
      <c r="T1556" s="31"/>
    </row>
    <row r="1557" spans="1:20" s="14" customFormat="1" x14ac:dyDescent="0.3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S1557" s="31"/>
      <c r="T1557" s="31"/>
    </row>
    <row r="1558" spans="1:20" s="14" customFormat="1" x14ac:dyDescent="0.3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S1558" s="31"/>
      <c r="T1558" s="31"/>
    </row>
    <row r="1559" spans="1:20" s="14" customFormat="1" x14ac:dyDescent="0.3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S1559" s="31"/>
      <c r="T1559" s="31"/>
    </row>
    <row r="1560" spans="1:20" s="14" customFormat="1" x14ac:dyDescent="0.3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S1560" s="31"/>
      <c r="T1560" s="31"/>
    </row>
    <row r="1561" spans="1:20" s="14" customFormat="1" x14ac:dyDescent="0.3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S1561" s="31"/>
      <c r="T1561" s="31"/>
    </row>
    <row r="1562" spans="1:20" s="14" customFormat="1" x14ac:dyDescent="0.3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S1562" s="31"/>
      <c r="T1562" s="31"/>
    </row>
    <row r="1563" spans="1:20" s="14" customFormat="1" x14ac:dyDescent="0.3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S1563" s="31"/>
      <c r="T1563" s="31"/>
    </row>
    <row r="1564" spans="1:20" s="14" customFormat="1" x14ac:dyDescent="0.3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S1564" s="31"/>
      <c r="T1564" s="31"/>
    </row>
    <row r="1565" spans="1:20" s="14" customFormat="1" x14ac:dyDescent="0.3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S1565" s="31"/>
      <c r="T1565" s="31"/>
    </row>
    <row r="1566" spans="1:20" s="14" customFormat="1" x14ac:dyDescent="0.3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S1566" s="31"/>
      <c r="T1566" s="31"/>
    </row>
    <row r="1567" spans="1:20" s="14" customFormat="1" x14ac:dyDescent="0.3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S1567" s="31"/>
      <c r="T1567" s="31"/>
    </row>
    <row r="1568" spans="1:20" s="14" customFormat="1" x14ac:dyDescent="0.3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S1568" s="31"/>
      <c r="T1568" s="31"/>
    </row>
    <row r="1569" spans="1:20" s="14" customFormat="1" x14ac:dyDescent="0.3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S1569" s="31"/>
      <c r="T1569" s="31"/>
    </row>
    <row r="1570" spans="1:20" s="14" customFormat="1" x14ac:dyDescent="0.3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S1570" s="31"/>
      <c r="T1570" s="31"/>
    </row>
    <row r="1571" spans="1:20" s="14" customFormat="1" x14ac:dyDescent="0.3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S1571" s="31"/>
      <c r="T1571" s="31"/>
    </row>
    <row r="1572" spans="1:20" s="14" customFormat="1" x14ac:dyDescent="0.3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S1572" s="31"/>
      <c r="T1572" s="31"/>
    </row>
    <row r="1573" spans="1:20" s="14" customFormat="1" x14ac:dyDescent="0.3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S1573" s="31"/>
      <c r="T1573" s="31"/>
    </row>
    <row r="1574" spans="1:20" s="14" customFormat="1" x14ac:dyDescent="0.3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S1574" s="31"/>
      <c r="T1574" s="31"/>
    </row>
    <row r="1575" spans="1:20" s="14" customFormat="1" x14ac:dyDescent="0.3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S1575" s="31"/>
      <c r="T1575" s="31"/>
    </row>
    <row r="1576" spans="1:20" s="14" customFormat="1" x14ac:dyDescent="0.3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S1576" s="31"/>
      <c r="T1576" s="31"/>
    </row>
    <row r="1577" spans="1:20" s="14" customFormat="1" x14ac:dyDescent="0.3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S1577" s="31"/>
      <c r="T1577" s="31"/>
    </row>
    <row r="1578" spans="1:20" s="14" customFormat="1" x14ac:dyDescent="0.3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S1578" s="31"/>
      <c r="T1578" s="31"/>
    </row>
    <row r="1579" spans="1:20" s="14" customFormat="1" x14ac:dyDescent="0.3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S1579" s="31"/>
      <c r="T1579" s="31"/>
    </row>
    <row r="1580" spans="1:20" s="14" customFormat="1" x14ac:dyDescent="0.3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S1580" s="31"/>
      <c r="T1580" s="31"/>
    </row>
    <row r="1581" spans="1:20" s="14" customFormat="1" x14ac:dyDescent="0.3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S1581" s="31"/>
      <c r="T1581" s="31"/>
    </row>
    <row r="1582" spans="1:20" s="14" customFormat="1" x14ac:dyDescent="0.3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S1582" s="31"/>
      <c r="T1582" s="31"/>
    </row>
    <row r="1583" spans="1:20" s="14" customFormat="1" x14ac:dyDescent="0.3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S1583" s="31"/>
      <c r="T1583" s="31"/>
    </row>
    <row r="1584" spans="1:20" s="14" customFormat="1" x14ac:dyDescent="0.3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S1584" s="31"/>
      <c r="T1584" s="31"/>
    </row>
    <row r="1585" spans="1:20" s="14" customFormat="1" x14ac:dyDescent="0.3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S1585" s="31"/>
      <c r="T1585" s="31"/>
    </row>
    <row r="1586" spans="1:20" s="14" customFormat="1" x14ac:dyDescent="0.3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S1586" s="31"/>
      <c r="T1586" s="31"/>
    </row>
    <row r="1587" spans="1:20" s="14" customFormat="1" x14ac:dyDescent="0.3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S1587" s="31"/>
      <c r="T1587" s="31"/>
    </row>
    <row r="1588" spans="1:20" s="14" customFormat="1" x14ac:dyDescent="0.3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S1588" s="31"/>
      <c r="T1588" s="31"/>
    </row>
    <row r="1589" spans="1:20" s="14" customFormat="1" x14ac:dyDescent="0.3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S1589" s="31"/>
      <c r="T1589" s="31"/>
    </row>
    <row r="1590" spans="1:20" s="14" customFormat="1" x14ac:dyDescent="0.3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S1590" s="31"/>
      <c r="T1590" s="31"/>
    </row>
    <row r="1591" spans="1:20" s="14" customFormat="1" x14ac:dyDescent="0.3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S1591" s="31"/>
      <c r="T1591" s="31"/>
    </row>
    <row r="1592" spans="1:20" s="14" customFormat="1" x14ac:dyDescent="0.3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S1592" s="31"/>
      <c r="T1592" s="31"/>
    </row>
    <row r="1593" spans="1:20" s="14" customFormat="1" x14ac:dyDescent="0.3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S1593" s="31"/>
      <c r="T1593" s="31"/>
    </row>
    <row r="1594" spans="1:20" s="14" customFormat="1" x14ac:dyDescent="0.3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S1594" s="31"/>
      <c r="T1594" s="31"/>
    </row>
    <row r="1595" spans="1:20" s="14" customFormat="1" x14ac:dyDescent="0.3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S1595" s="31"/>
      <c r="T1595" s="31"/>
    </row>
    <row r="1596" spans="1:20" s="14" customFormat="1" x14ac:dyDescent="0.3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S1596" s="31"/>
      <c r="T1596" s="31"/>
    </row>
    <row r="1597" spans="1:20" s="14" customFormat="1" x14ac:dyDescent="0.3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S1597" s="31"/>
      <c r="T1597" s="31"/>
    </row>
    <row r="1598" spans="1:20" s="14" customFormat="1" x14ac:dyDescent="0.3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S1598" s="31"/>
      <c r="T1598" s="31"/>
    </row>
    <row r="1599" spans="1:20" s="14" customFormat="1" x14ac:dyDescent="0.3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S1599" s="31"/>
      <c r="T1599" s="31"/>
    </row>
    <row r="1600" spans="1:20" s="14" customFormat="1" x14ac:dyDescent="0.3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S1600" s="31"/>
      <c r="T1600" s="31"/>
    </row>
    <row r="1601" spans="1:20" s="14" customFormat="1" x14ac:dyDescent="0.3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S1601" s="31"/>
      <c r="T1601" s="31"/>
    </row>
    <row r="1602" spans="1:20" s="14" customFormat="1" x14ac:dyDescent="0.3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S1602" s="31"/>
      <c r="T1602" s="31"/>
    </row>
    <row r="1603" spans="1:20" s="14" customFormat="1" x14ac:dyDescent="0.3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S1603" s="31"/>
      <c r="T1603" s="31"/>
    </row>
    <row r="1604" spans="1:20" s="14" customFormat="1" x14ac:dyDescent="0.3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S1604" s="31"/>
      <c r="T1604" s="31"/>
    </row>
    <row r="1605" spans="1:20" s="14" customFormat="1" x14ac:dyDescent="0.3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S1605" s="31"/>
      <c r="T1605" s="31"/>
    </row>
    <row r="1606" spans="1:20" s="14" customFormat="1" x14ac:dyDescent="0.3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S1606" s="31"/>
      <c r="T1606" s="31"/>
    </row>
    <row r="1607" spans="1:20" s="14" customFormat="1" x14ac:dyDescent="0.3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S1607" s="31"/>
      <c r="T1607" s="31"/>
    </row>
    <row r="1608" spans="1:20" s="14" customFormat="1" x14ac:dyDescent="0.3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S1608" s="31"/>
      <c r="T1608" s="31"/>
    </row>
    <row r="1609" spans="1:20" s="14" customFormat="1" x14ac:dyDescent="0.3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S1609" s="31"/>
      <c r="T1609" s="31"/>
    </row>
    <row r="1610" spans="1:20" s="14" customFormat="1" x14ac:dyDescent="0.3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S1610" s="31"/>
      <c r="T1610" s="31"/>
    </row>
    <row r="1611" spans="1:20" s="14" customFormat="1" x14ac:dyDescent="0.3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S1611" s="31"/>
      <c r="T1611" s="31"/>
    </row>
    <row r="1612" spans="1:20" s="14" customFormat="1" x14ac:dyDescent="0.3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S1612" s="31"/>
      <c r="T1612" s="31"/>
    </row>
    <row r="1613" spans="1:20" s="14" customFormat="1" x14ac:dyDescent="0.3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S1613" s="31"/>
      <c r="T1613" s="31"/>
    </row>
    <row r="1614" spans="1:20" s="14" customFormat="1" x14ac:dyDescent="0.3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S1614" s="31"/>
      <c r="T1614" s="31"/>
    </row>
    <row r="1615" spans="1:20" s="14" customFormat="1" x14ac:dyDescent="0.3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S1615" s="31"/>
      <c r="T1615" s="31"/>
    </row>
    <row r="1616" spans="1:20" s="14" customFormat="1" x14ac:dyDescent="0.3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S1616" s="31"/>
      <c r="T1616" s="31"/>
    </row>
    <row r="1617" spans="1:20" s="14" customFormat="1" x14ac:dyDescent="0.3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S1617" s="31"/>
      <c r="T1617" s="31"/>
    </row>
    <row r="1618" spans="1:20" s="14" customFormat="1" x14ac:dyDescent="0.3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S1618" s="31"/>
      <c r="T1618" s="31"/>
    </row>
    <row r="1619" spans="1:20" s="14" customFormat="1" x14ac:dyDescent="0.3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S1619" s="31"/>
      <c r="T1619" s="31"/>
    </row>
    <row r="1620" spans="1:20" s="14" customFormat="1" x14ac:dyDescent="0.3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S1620" s="31"/>
      <c r="T1620" s="31"/>
    </row>
    <row r="1621" spans="1:20" s="14" customFormat="1" x14ac:dyDescent="0.3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S1621" s="31"/>
      <c r="T1621" s="31"/>
    </row>
    <row r="1622" spans="1:20" s="14" customFormat="1" x14ac:dyDescent="0.3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S1622" s="31"/>
      <c r="T1622" s="31"/>
    </row>
    <row r="1623" spans="1:20" s="14" customFormat="1" x14ac:dyDescent="0.3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S1623" s="31"/>
      <c r="T1623" s="31"/>
    </row>
    <row r="1624" spans="1:20" s="14" customFormat="1" x14ac:dyDescent="0.3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S1624" s="31"/>
      <c r="T1624" s="31"/>
    </row>
    <row r="1625" spans="1:20" s="14" customFormat="1" x14ac:dyDescent="0.3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S1625" s="31"/>
      <c r="T1625" s="31"/>
    </row>
    <row r="1626" spans="1:20" s="14" customFormat="1" x14ac:dyDescent="0.3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S1626" s="31"/>
      <c r="T1626" s="31"/>
    </row>
    <row r="1627" spans="1:20" s="14" customFormat="1" x14ac:dyDescent="0.3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S1627" s="31"/>
      <c r="T1627" s="31"/>
    </row>
    <row r="1628" spans="1:20" s="14" customFormat="1" x14ac:dyDescent="0.3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S1628" s="31"/>
      <c r="T1628" s="31"/>
    </row>
    <row r="1629" spans="1:20" s="14" customFormat="1" x14ac:dyDescent="0.3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S1629" s="31"/>
      <c r="T1629" s="31"/>
    </row>
    <row r="1630" spans="1:20" s="14" customFormat="1" x14ac:dyDescent="0.3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S1630" s="31"/>
      <c r="T1630" s="31"/>
    </row>
    <row r="1631" spans="1:20" s="14" customFormat="1" x14ac:dyDescent="0.3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S1631" s="31"/>
      <c r="T1631" s="31"/>
    </row>
    <row r="1632" spans="1:20" s="14" customFormat="1" x14ac:dyDescent="0.3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S1632" s="31"/>
      <c r="T1632" s="31"/>
    </row>
    <row r="1633" spans="1:20" s="14" customFormat="1" x14ac:dyDescent="0.3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S1633" s="31"/>
      <c r="T1633" s="31"/>
    </row>
    <row r="1634" spans="1:20" s="14" customFormat="1" x14ac:dyDescent="0.3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S1634" s="31"/>
      <c r="T1634" s="31"/>
    </row>
    <row r="1635" spans="1:20" s="14" customFormat="1" x14ac:dyDescent="0.3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S1635" s="31"/>
      <c r="T1635" s="31"/>
    </row>
    <row r="1636" spans="1:20" s="14" customFormat="1" x14ac:dyDescent="0.3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S1636" s="31"/>
      <c r="T1636" s="31"/>
    </row>
    <row r="1637" spans="1:20" s="14" customFormat="1" x14ac:dyDescent="0.3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S1637" s="31"/>
      <c r="T1637" s="31"/>
    </row>
    <row r="1638" spans="1:20" s="14" customFormat="1" x14ac:dyDescent="0.3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S1638" s="31"/>
      <c r="T1638" s="31"/>
    </row>
    <row r="1639" spans="1:20" s="14" customFormat="1" x14ac:dyDescent="0.3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S1639" s="31"/>
      <c r="T1639" s="31"/>
    </row>
    <row r="1640" spans="1:20" s="14" customFormat="1" x14ac:dyDescent="0.3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S1640" s="31"/>
      <c r="T1640" s="31"/>
    </row>
    <row r="1641" spans="1:20" s="14" customFormat="1" x14ac:dyDescent="0.3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S1641" s="31"/>
      <c r="T1641" s="31"/>
    </row>
    <row r="1642" spans="1:20" s="14" customFormat="1" x14ac:dyDescent="0.3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S1642" s="31"/>
      <c r="T1642" s="31"/>
    </row>
    <row r="1643" spans="1:20" s="14" customFormat="1" x14ac:dyDescent="0.3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S1643" s="31"/>
      <c r="T1643" s="31"/>
    </row>
    <row r="1644" spans="1:20" s="14" customFormat="1" x14ac:dyDescent="0.3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S1644" s="31"/>
      <c r="T1644" s="31"/>
    </row>
    <row r="1645" spans="1:20" s="14" customFormat="1" x14ac:dyDescent="0.3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S1645" s="31"/>
      <c r="T1645" s="31"/>
    </row>
    <row r="1646" spans="1:20" s="14" customFormat="1" x14ac:dyDescent="0.3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S1646" s="31"/>
      <c r="T1646" s="31"/>
    </row>
    <row r="1647" spans="1:20" s="14" customFormat="1" x14ac:dyDescent="0.3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S1647" s="31"/>
      <c r="T1647" s="31"/>
    </row>
    <row r="1648" spans="1:20" s="14" customFormat="1" x14ac:dyDescent="0.3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S1648" s="31"/>
      <c r="T1648" s="31"/>
    </row>
    <row r="1649" spans="1:20" s="14" customFormat="1" x14ac:dyDescent="0.3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S1649" s="31"/>
      <c r="T1649" s="31"/>
    </row>
    <row r="1650" spans="1:20" s="14" customFormat="1" x14ac:dyDescent="0.3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S1650" s="31"/>
      <c r="T1650" s="31"/>
    </row>
    <row r="1651" spans="1:20" s="14" customFormat="1" x14ac:dyDescent="0.3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S1651" s="31"/>
      <c r="T1651" s="31"/>
    </row>
    <row r="1652" spans="1:20" s="14" customFormat="1" x14ac:dyDescent="0.3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S1652" s="31"/>
      <c r="T1652" s="31"/>
    </row>
    <row r="1653" spans="1:20" s="14" customFormat="1" x14ac:dyDescent="0.3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S1653" s="31"/>
      <c r="T1653" s="31"/>
    </row>
    <row r="1654" spans="1:20" s="14" customFormat="1" x14ac:dyDescent="0.3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S1654" s="31"/>
      <c r="T1654" s="31"/>
    </row>
    <row r="1655" spans="1:20" s="14" customFormat="1" x14ac:dyDescent="0.3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S1655" s="31"/>
      <c r="T1655" s="31"/>
    </row>
    <row r="1656" spans="1:20" s="14" customFormat="1" x14ac:dyDescent="0.3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S1656" s="31"/>
      <c r="T1656" s="31"/>
    </row>
    <row r="1657" spans="1:20" s="14" customFormat="1" x14ac:dyDescent="0.3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S1657" s="31"/>
      <c r="T1657" s="31"/>
    </row>
    <row r="1658" spans="1:20" s="14" customFormat="1" x14ac:dyDescent="0.3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S1658" s="31"/>
      <c r="T1658" s="31"/>
    </row>
    <row r="1659" spans="1:20" s="14" customFormat="1" x14ac:dyDescent="0.3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S1659" s="31"/>
      <c r="T1659" s="31"/>
    </row>
    <row r="1660" spans="1:20" s="14" customFormat="1" x14ac:dyDescent="0.3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S1660" s="31"/>
      <c r="T1660" s="31"/>
    </row>
    <row r="1661" spans="1:20" s="14" customFormat="1" x14ac:dyDescent="0.3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S1661" s="31"/>
      <c r="T1661" s="31"/>
    </row>
    <row r="1662" spans="1:20" s="14" customFormat="1" x14ac:dyDescent="0.3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S1662" s="31"/>
      <c r="T1662" s="31"/>
    </row>
    <row r="1663" spans="1:20" s="14" customFormat="1" x14ac:dyDescent="0.3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S1663" s="31"/>
      <c r="T1663" s="31"/>
    </row>
    <row r="1664" spans="1:20" s="14" customFormat="1" x14ac:dyDescent="0.3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S1664" s="31"/>
      <c r="T1664" s="31"/>
    </row>
    <row r="1665" spans="1:20" s="14" customFormat="1" x14ac:dyDescent="0.3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S1665" s="31"/>
      <c r="T1665" s="31"/>
    </row>
    <row r="1666" spans="1:20" s="14" customFormat="1" x14ac:dyDescent="0.3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S1666" s="31"/>
      <c r="T1666" s="31"/>
    </row>
    <row r="1667" spans="1:20" s="14" customFormat="1" x14ac:dyDescent="0.3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S1667" s="31"/>
      <c r="T1667" s="31"/>
    </row>
    <row r="1668" spans="1:20" s="14" customFormat="1" x14ac:dyDescent="0.3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S1668" s="31"/>
      <c r="T1668" s="31"/>
    </row>
    <row r="1669" spans="1:20" s="14" customFormat="1" x14ac:dyDescent="0.3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S1669" s="31"/>
      <c r="T1669" s="31"/>
    </row>
    <row r="1670" spans="1:20" s="14" customFormat="1" x14ac:dyDescent="0.3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S1670" s="31"/>
      <c r="T1670" s="31"/>
    </row>
    <row r="1671" spans="1:20" s="14" customFormat="1" x14ac:dyDescent="0.3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S1671" s="31"/>
      <c r="T1671" s="31"/>
    </row>
    <row r="1672" spans="1:20" s="14" customFormat="1" x14ac:dyDescent="0.3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S1672" s="31"/>
      <c r="T1672" s="31"/>
    </row>
    <row r="1673" spans="1:20" s="14" customFormat="1" x14ac:dyDescent="0.3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S1673" s="31"/>
      <c r="T1673" s="31"/>
    </row>
    <row r="1674" spans="1:20" s="14" customFormat="1" x14ac:dyDescent="0.3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S1674" s="31"/>
      <c r="T1674" s="31"/>
    </row>
    <row r="1675" spans="1:20" s="14" customFormat="1" x14ac:dyDescent="0.3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S1675" s="31"/>
      <c r="T1675" s="31"/>
    </row>
    <row r="1676" spans="1:20" s="14" customFormat="1" x14ac:dyDescent="0.3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S1676" s="31"/>
      <c r="T1676" s="31"/>
    </row>
    <row r="1677" spans="1:20" s="14" customFormat="1" x14ac:dyDescent="0.3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S1677" s="31"/>
      <c r="T1677" s="31"/>
    </row>
    <row r="1678" spans="1:20" s="14" customFormat="1" x14ac:dyDescent="0.3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S1678" s="31"/>
      <c r="T1678" s="31"/>
    </row>
    <row r="1679" spans="1:20" s="14" customFormat="1" x14ac:dyDescent="0.3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S1679" s="31"/>
      <c r="T1679" s="31"/>
    </row>
    <row r="1680" spans="1:20" s="14" customFormat="1" x14ac:dyDescent="0.3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S1680" s="31"/>
      <c r="T1680" s="31"/>
    </row>
    <row r="1681" spans="1:20" s="14" customFormat="1" x14ac:dyDescent="0.3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S1681" s="31"/>
      <c r="T1681" s="31"/>
    </row>
    <row r="1682" spans="1:20" s="14" customFormat="1" x14ac:dyDescent="0.3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S1682" s="31"/>
      <c r="T1682" s="31"/>
    </row>
    <row r="1683" spans="1:20" s="14" customFormat="1" x14ac:dyDescent="0.3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S1683" s="31"/>
      <c r="T1683" s="31"/>
    </row>
    <row r="1684" spans="1:20" s="14" customFormat="1" x14ac:dyDescent="0.3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S1684" s="31"/>
      <c r="T1684" s="31"/>
    </row>
    <row r="1685" spans="1:20" s="14" customFormat="1" x14ac:dyDescent="0.3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S1685" s="31"/>
      <c r="T1685" s="31"/>
    </row>
    <row r="1686" spans="1:20" s="14" customFormat="1" x14ac:dyDescent="0.3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S1686" s="31"/>
      <c r="T1686" s="31"/>
    </row>
    <row r="1687" spans="1:20" s="14" customFormat="1" x14ac:dyDescent="0.3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S1687" s="31"/>
      <c r="T1687" s="31"/>
    </row>
    <row r="1688" spans="1:20" s="14" customFormat="1" x14ac:dyDescent="0.3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S1688" s="31"/>
      <c r="T1688" s="31"/>
    </row>
    <row r="1689" spans="1:20" s="14" customFormat="1" x14ac:dyDescent="0.3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S1689" s="31"/>
      <c r="T1689" s="31"/>
    </row>
    <row r="1690" spans="1:20" s="14" customFormat="1" x14ac:dyDescent="0.3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S1690" s="31"/>
      <c r="T1690" s="31"/>
    </row>
    <row r="1691" spans="1:20" s="14" customFormat="1" x14ac:dyDescent="0.3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S1691" s="31"/>
      <c r="T1691" s="31"/>
    </row>
    <row r="1692" spans="1:20" s="14" customFormat="1" x14ac:dyDescent="0.3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S1692" s="31"/>
      <c r="T1692" s="31"/>
    </row>
    <row r="1693" spans="1:20" s="14" customFormat="1" x14ac:dyDescent="0.3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S1693" s="31"/>
      <c r="T1693" s="31"/>
    </row>
    <row r="1694" spans="1:20" s="14" customFormat="1" x14ac:dyDescent="0.3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S1694" s="31"/>
      <c r="T1694" s="31"/>
    </row>
    <row r="1695" spans="1:20" s="14" customFormat="1" x14ac:dyDescent="0.3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S1695" s="31"/>
      <c r="T1695" s="31"/>
    </row>
    <row r="1696" spans="1:20" s="14" customFormat="1" x14ac:dyDescent="0.3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S1696" s="31"/>
      <c r="T1696" s="31"/>
    </row>
    <row r="1697" spans="1:20" s="14" customFormat="1" x14ac:dyDescent="0.3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S1697" s="31"/>
      <c r="T1697" s="31"/>
    </row>
    <row r="1698" spans="1:20" s="14" customFormat="1" x14ac:dyDescent="0.3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S1698" s="31"/>
      <c r="T1698" s="31"/>
    </row>
    <row r="1699" spans="1:20" s="14" customFormat="1" x14ac:dyDescent="0.3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S1699" s="31"/>
      <c r="T1699" s="31"/>
    </row>
    <row r="1700" spans="1:20" s="14" customFormat="1" x14ac:dyDescent="0.3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S1700" s="31"/>
      <c r="T1700" s="31"/>
    </row>
    <row r="1701" spans="1:20" s="14" customFormat="1" x14ac:dyDescent="0.3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S1701" s="31"/>
      <c r="T1701" s="31"/>
    </row>
    <row r="1702" spans="1:20" s="14" customFormat="1" x14ac:dyDescent="0.3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S1702" s="31"/>
      <c r="T1702" s="31"/>
    </row>
    <row r="1703" spans="1:20" s="14" customFormat="1" x14ac:dyDescent="0.3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S1703" s="31"/>
      <c r="T1703" s="31"/>
    </row>
    <row r="1704" spans="1:20" s="14" customFormat="1" x14ac:dyDescent="0.3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S1704" s="31"/>
      <c r="T1704" s="31"/>
    </row>
    <row r="1705" spans="1:20" s="14" customFormat="1" x14ac:dyDescent="0.3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S1705" s="31"/>
      <c r="T1705" s="31"/>
    </row>
    <row r="1706" spans="1:20" s="14" customFormat="1" x14ac:dyDescent="0.3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S1706" s="31"/>
      <c r="T1706" s="31"/>
    </row>
    <row r="1707" spans="1:20" s="14" customFormat="1" x14ac:dyDescent="0.3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S1707" s="31"/>
      <c r="T1707" s="31"/>
    </row>
    <row r="1708" spans="1:20" s="14" customFormat="1" x14ac:dyDescent="0.3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S1708" s="31"/>
      <c r="T1708" s="31"/>
    </row>
    <row r="1709" spans="1:20" s="14" customFormat="1" x14ac:dyDescent="0.3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S1709" s="31"/>
      <c r="T1709" s="31"/>
    </row>
    <row r="1710" spans="1:20" s="14" customFormat="1" x14ac:dyDescent="0.3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S1710" s="31"/>
      <c r="T1710" s="31"/>
    </row>
    <row r="1711" spans="1:20" s="14" customFormat="1" x14ac:dyDescent="0.3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S1711" s="31"/>
      <c r="T1711" s="31"/>
    </row>
    <row r="1712" spans="1:20" s="14" customFormat="1" x14ac:dyDescent="0.3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S1712" s="31"/>
      <c r="T1712" s="31"/>
    </row>
    <row r="1713" spans="1:20" s="14" customFormat="1" x14ac:dyDescent="0.3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S1713" s="31"/>
      <c r="T1713" s="31"/>
    </row>
    <row r="1714" spans="1:20" s="14" customFormat="1" x14ac:dyDescent="0.3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S1714" s="31"/>
      <c r="T1714" s="31"/>
    </row>
    <row r="1715" spans="1:20" s="14" customFormat="1" x14ac:dyDescent="0.3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S1715" s="31"/>
      <c r="T1715" s="31"/>
    </row>
    <row r="1716" spans="1:20" s="14" customFormat="1" x14ac:dyDescent="0.3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S1716" s="31"/>
      <c r="T1716" s="31"/>
    </row>
    <row r="1717" spans="1:20" s="14" customFormat="1" x14ac:dyDescent="0.3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S1717" s="31"/>
      <c r="T1717" s="31"/>
    </row>
    <row r="1718" spans="1:20" s="14" customFormat="1" x14ac:dyDescent="0.3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S1718" s="31"/>
      <c r="T1718" s="31"/>
    </row>
    <row r="1719" spans="1:20" s="14" customFormat="1" x14ac:dyDescent="0.3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S1719" s="31"/>
      <c r="T1719" s="31"/>
    </row>
    <row r="1720" spans="1:20" s="14" customFormat="1" x14ac:dyDescent="0.3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S1720" s="31"/>
      <c r="T1720" s="31"/>
    </row>
    <row r="1721" spans="1:20" s="14" customFormat="1" x14ac:dyDescent="0.3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S1721" s="31"/>
      <c r="T1721" s="31"/>
    </row>
    <row r="1722" spans="1:20" s="14" customFormat="1" x14ac:dyDescent="0.3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S1722" s="31"/>
      <c r="T1722" s="31"/>
    </row>
    <row r="1723" spans="1:20" s="14" customFormat="1" x14ac:dyDescent="0.3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S1723" s="31"/>
      <c r="T1723" s="31"/>
    </row>
    <row r="1724" spans="1:20" s="14" customFormat="1" x14ac:dyDescent="0.3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S1724" s="31"/>
      <c r="T1724" s="31"/>
    </row>
    <row r="1725" spans="1:20" s="14" customFormat="1" x14ac:dyDescent="0.3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S1725" s="31"/>
      <c r="T1725" s="31"/>
    </row>
    <row r="1726" spans="1:20" s="14" customFormat="1" x14ac:dyDescent="0.3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S1726" s="31"/>
      <c r="T1726" s="31"/>
    </row>
    <row r="1727" spans="1:20" s="14" customFormat="1" x14ac:dyDescent="0.3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S1727" s="31"/>
      <c r="T1727" s="31"/>
    </row>
    <row r="1728" spans="1:20" s="14" customFormat="1" x14ac:dyDescent="0.3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S1728" s="31"/>
      <c r="T1728" s="31"/>
    </row>
    <row r="1729" spans="1:20" s="14" customFormat="1" x14ac:dyDescent="0.3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S1729" s="31"/>
      <c r="T1729" s="31"/>
    </row>
    <row r="1730" spans="1:20" s="14" customFormat="1" x14ac:dyDescent="0.3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S1730" s="31"/>
      <c r="T1730" s="31"/>
    </row>
    <row r="1731" spans="1:20" s="14" customFormat="1" x14ac:dyDescent="0.3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S1731" s="31"/>
      <c r="T1731" s="31"/>
    </row>
    <row r="1732" spans="1:20" s="14" customFormat="1" x14ac:dyDescent="0.3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S1732" s="31"/>
      <c r="T1732" s="31"/>
    </row>
    <row r="1733" spans="1:20" s="14" customFormat="1" x14ac:dyDescent="0.3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S1733" s="31"/>
      <c r="T1733" s="31"/>
    </row>
    <row r="1734" spans="1:20" s="14" customFormat="1" x14ac:dyDescent="0.3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S1734" s="31"/>
      <c r="T1734" s="31"/>
    </row>
    <row r="1735" spans="1:20" s="14" customFormat="1" x14ac:dyDescent="0.3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S1735" s="31"/>
      <c r="T1735" s="31"/>
    </row>
    <row r="1736" spans="1:20" s="14" customFormat="1" x14ac:dyDescent="0.3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S1736" s="31"/>
      <c r="T1736" s="31"/>
    </row>
    <row r="1737" spans="1:20" s="14" customFormat="1" x14ac:dyDescent="0.3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S1737" s="31"/>
      <c r="T1737" s="31"/>
    </row>
    <row r="1738" spans="1:20" s="14" customFormat="1" x14ac:dyDescent="0.3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S1738" s="31"/>
      <c r="T1738" s="31"/>
    </row>
    <row r="1739" spans="1:20" s="14" customFormat="1" x14ac:dyDescent="0.3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S1739" s="31"/>
      <c r="T1739" s="31"/>
    </row>
    <row r="1740" spans="1:20" s="14" customFormat="1" x14ac:dyDescent="0.3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S1740" s="31"/>
      <c r="T1740" s="31"/>
    </row>
    <row r="1741" spans="1:20" s="14" customFormat="1" x14ac:dyDescent="0.3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S1741" s="31"/>
      <c r="T1741" s="31"/>
    </row>
    <row r="1742" spans="1:20" s="14" customFormat="1" x14ac:dyDescent="0.3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S1742" s="31"/>
      <c r="T1742" s="31"/>
    </row>
    <row r="1743" spans="1:20" s="14" customFormat="1" x14ac:dyDescent="0.3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S1743" s="31"/>
      <c r="T1743" s="31"/>
    </row>
    <row r="1744" spans="1:20" s="14" customFormat="1" x14ac:dyDescent="0.3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S1744" s="31"/>
      <c r="T1744" s="31"/>
    </row>
    <row r="1745" spans="1:20" s="14" customFormat="1" x14ac:dyDescent="0.3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S1745" s="31"/>
      <c r="T1745" s="31"/>
    </row>
    <row r="1746" spans="1:20" s="14" customFormat="1" x14ac:dyDescent="0.3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S1746" s="31"/>
      <c r="T1746" s="31"/>
    </row>
    <row r="1747" spans="1:20" s="14" customFormat="1" x14ac:dyDescent="0.3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S1747" s="31"/>
      <c r="T1747" s="31"/>
    </row>
    <row r="1748" spans="1:20" s="14" customFormat="1" x14ac:dyDescent="0.3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S1748" s="31"/>
      <c r="T1748" s="31"/>
    </row>
    <row r="1749" spans="1:20" s="14" customFormat="1" x14ac:dyDescent="0.3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S1749" s="31"/>
      <c r="T1749" s="31"/>
    </row>
    <row r="1750" spans="1:20" s="14" customFormat="1" x14ac:dyDescent="0.3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S1750" s="31"/>
      <c r="T1750" s="31"/>
    </row>
    <row r="1751" spans="1:20" s="14" customFormat="1" x14ac:dyDescent="0.3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S1751" s="31"/>
      <c r="T1751" s="31"/>
    </row>
    <row r="1752" spans="1:20" s="14" customFormat="1" x14ac:dyDescent="0.3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S1752" s="31"/>
      <c r="T1752" s="31"/>
    </row>
    <row r="1753" spans="1:20" s="14" customFormat="1" x14ac:dyDescent="0.3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S1753" s="31"/>
      <c r="T1753" s="31"/>
    </row>
    <row r="1754" spans="1:20" s="14" customFormat="1" x14ac:dyDescent="0.3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S1754" s="31"/>
      <c r="T1754" s="31"/>
    </row>
    <row r="1755" spans="1:20" s="14" customFormat="1" x14ac:dyDescent="0.3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S1755" s="31"/>
      <c r="T1755" s="31"/>
    </row>
    <row r="1756" spans="1:20" s="14" customFormat="1" x14ac:dyDescent="0.3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S1756" s="31"/>
      <c r="T1756" s="31"/>
    </row>
    <row r="1757" spans="1:20" s="14" customFormat="1" x14ac:dyDescent="0.3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S1757" s="31"/>
      <c r="T1757" s="31"/>
    </row>
    <row r="1758" spans="1:20" s="14" customFormat="1" x14ac:dyDescent="0.3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S1758" s="31"/>
      <c r="T1758" s="31"/>
    </row>
    <row r="1759" spans="1:20" s="14" customFormat="1" x14ac:dyDescent="0.3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S1759" s="31"/>
      <c r="T1759" s="31"/>
    </row>
    <row r="1760" spans="1:20" s="14" customFormat="1" x14ac:dyDescent="0.3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S1760" s="31"/>
      <c r="T1760" s="31"/>
    </row>
    <row r="1761" spans="1:20" s="14" customFormat="1" x14ac:dyDescent="0.3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S1761" s="31"/>
      <c r="T1761" s="31"/>
    </row>
    <row r="1762" spans="1:20" s="14" customFormat="1" x14ac:dyDescent="0.3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S1762" s="31"/>
      <c r="T1762" s="31"/>
    </row>
    <row r="1763" spans="1:20" s="14" customFormat="1" x14ac:dyDescent="0.3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S1763" s="31"/>
      <c r="T1763" s="31"/>
    </row>
    <row r="1764" spans="1:20" s="14" customFormat="1" x14ac:dyDescent="0.3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S1764" s="31"/>
      <c r="T1764" s="31"/>
    </row>
    <row r="1765" spans="1:20" s="14" customFormat="1" x14ac:dyDescent="0.3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S1765" s="31"/>
      <c r="T1765" s="31"/>
    </row>
    <row r="1766" spans="1:20" s="14" customFormat="1" x14ac:dyDescent="0.3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S1766" s="31"/>
      <c r="T1766" s="31"/>
    </row>
    <row r="1767" spans="1:20" s="14" customFormat="1" x14ac:dyDescent="0.3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S1767" s="31"/>
      <c r="T1767" s="31"/>
    </row>
    <row r="1768" spans="1:20" s="14" customFormat="1" x14ac:dyDescent="0.3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S1768" s="31"/>
      <c r="T1768" s="31"/>
    </row>
    <row r="1769" spans="1:20" s="14" customFormat="1" x14ac:dyDescent="0.3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S1769" s="31"/>
      <c r="T1769" s="31"/>
    </row>
    <row r="1770" spans="1:20" s="14" customFormat="1" x14ac:dyDescent="0.3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S1770" s="31"/>
      <c r="T1770" s="31"/>
    </row>
    <row r="1771" spans="1:20" s="14" customFormat="1" x14ac:dyDescent="0.3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S1771" s="31"/>
      <c r="T1771" s="31"/>
    </row>
    <row r="1772" spans="1:20" s="14" customFormat="1" x14ac:dyDescent="0.3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S1772" s="31"/>
      <c r="T1772" s="31"/>
    </row>
    <row r="1773" spans="1:20" s="14" customFormat="1" x14ac:dyDescent="0.3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S1773" s="31"/>
      <c r="T1773" s="31"/>
    </row>
    <row r="1774" spans="1:20" s="14" customFormat="1" x14ac:dyDescent="0.3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S1774" s="31"/>
      <c r="T1774" s="31"/>
    </row>
    <row r="1775" spans="1:20" s="14" customFormat="1" x14ac:dyDescent="0.3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S1775" s="31"/>
      <c r="T1775" s="31"/>
    </row>
    <row r="1776" spans="1:20" s="14" customFormat="1" x14ac:dyDescent="0.3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S1776" s="31"/>
      <c r="T1776" s="31"/>
    </row>
    <row r="1777" spans="1:20" s="14" customFormat="1" x14ac:dyDescent="0.3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S1777" s="31"/>
      <c r="T1777" s="31"/>
    </row>
    <row r="1778" spans="1:20" s="14" customFormat="1" x14ac:dyDescent="0.3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S1778" s="31"/>
      <c r="T1778" s="31"/>
    </row>
    <row r="1779" spans="1:20" s="14" customFormat="1" x14ac:dyDescent="0.3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S1779" s="31"/>
      <c r="T1779" s="31"/>
    </row>
    <row r="1780" spans="1:20" s="14" customFormat="1" x14ac:dyDescent="0.3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S1780" s="31"/>
      <c r="T1780" s="31"/>
    </row>
    <row r="1781" spans="1:20" s="14" customFormat="1" x14ac:dyDescent="0.3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S1781" s="31"/>
      <c r="T1781" s="31"/>
    </row>
    <row r="1782" spans="1:20" s="14" customFormat="1" x14ac:dyDescent="0.3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S1782" s="31"/>
      <c r="T1782" s="31"/>
    </row>
    <row r="1783" spans="1:20" s="14" customFormat="1" x14ac:dyDescent="0.3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S1783" s="31"/>
      <c r="T1783" s="31"/>
    </row>
    <row r="1784" spans="1:20" s="14" customFormat="1" x14ac:dyDescent="0.3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S1784" s="31"/>
      <c r="T1784" s="31"/>
    </row>
    <row r="1785" spans="1:20" s="14" customFormat="1" x14ac:dyDescent="0.3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S1785" s="31"/>
      <c r="T1785" s="31"/>
    </row>
    <row r="1786" spans="1:20" s="14" customFormat="1" x14ac:dyDescent="0.3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S1786" s="31"/>
      <c r="T1786" s="31"/>
    </row>
    <row r="1787" spans="1:20" s="14" customFormat="1" x14ac:dyDescent="0.3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S1787" s="31"/>
      <c r="T1787" s="31"/>
    </row>
    <row r="1788" spans="1:20" s="14" customFormat="1" x14ac:dyDescent="0.3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S1788" s="31"/>
      <c r="T1788" s="31"/>
    </row>
    <row r="1789" spans="1:20" s="14" customFormat="1" x14ac:dyDescent="0.3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S1789" s="31"/>
      <c r="T1789" s="31"/>
    </row>
    <row r="1790" spans="1:20" s="14" customFormat="1" x14ac:dyDescent="0.3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S1790" s="31"/>
      <c r="T1790" s="31"/>
    </row>
    <row r="1791" spans="1:20" s="14" customFormat="1" x14ac:dyDescent="0.3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S1791" s="31"/>
      <c r="T1791" s="31"/>
    </row>
    <row r="1792" spans="1:20" s="14" customFormat="1" x14ac:dyDescent="0.3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S1792" s="31"/>
      <c r="T1792" s="31"/>
    </row>
    <row r="1793" spans="1:20" s="14" customFormat="1" x14ac:dyDescent="0.3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S1793" s="31"/>
      <c r="T1793" s="31"/>
    </row>
    <row r="1794" spans="1:20" s="14" customFormat="1" x14ac:dyDescent="0.3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S1794" s="31"/>
      <c r="T1794" s="31"/>
    </row>
    <row r="1795" spans="1:20" s="14" customFormat="1" x14ac:dyDescent="0.3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S1795" s="31"/>
      <c r="T1795" s="31"/>
    </row>
    <row r="1796" spans="1:20" s="14" customFormat="1" x14ac:dyDescent="0.3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S1796" s="31"/>
      <c r="T1796" s="31"/>
    </row>
    <row r="1797" spans="1:20" s="14" customFormat="1" x14ac:dyDescent="0.3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S1797" s="31"/>
      <c r="T1797" s="31"/>
    </row>
    <row r="1798" spans="1:20" s="14" customFormat="1" x14ac:dyDescent="0.3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S1798" s="31"/>
      <c r="T1798" s="31"/>
    </row>
    <row r="1799" spans="1:20" s="14" customFormat="1" x14ac:dyDescent="0.3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S1799" s="31"/>
      <c r="T1799" s="31"/>
    </row>
    <row r="1800" spans="1:20" s="14" customFormat="1" x14ac:dyDescent="0.3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S1800" s="31"/>
      <c r="T1800" s="31"/>
    </row>
    <row r="1801" spans="1:20" s="14" customFormat="1" x14ac:dyDescent="0.3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S1801" s="31"/>
      <c r="T1801" s="31"/>
    </row>
    <row r="1802" spans="1:20" s="14" customFormat="1" x14ac:dyDescent="0.3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S1802" s="31"/>
      <c r="T1802" s="31"/>
    </row>
    <row r="1803" spans="1:20" s="14" customFormat="1" x14ac:dyDescent="0.3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S1803" s="31"/>
      <c r="T1803" s="31"/>
    </row>
    <row r="1804" spans="1:20" s="14" customFormat="1" x14ac:dyDescent="0.3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S1804" s="31"/>
      <c r="T1804" s="31"/>
    </row>
    <row r="1805" spans="1:20" s="14" customFormat="1" x14ac:dyDescent="0.3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S1805" s="31"/>
      <c r="T1805" s="31"/>
    </row>
    <row r="1806" spans="1:20" s="14" customFormat="1" x14ac:dyDescent="0.3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S1806" s="31"/>
      <c r="T1806" s="31"/>
    </row>
    <row r="1807" spans="1:20" s="14" customFormat="1" x14ac:dyDescent="0.3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S1807" s="31"/>
      <c r="T1807" s="31"/>
    </row>
    <row r="1808" spans="1:20" s="14" customFormat="1" x14ac:dyDescent="0.3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S1808" s="31"/>
      <c r="T1808" s="31"/>
    </row>
    <row r="1809" spans="1:20" s="14" customFormat="1" x14ac:dyDescent="0.3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S1809" s="31"/>
      <c r="T1809" s="31"/>
    </row>
    <row r="1810" spans="1:20" s="14" customFormat="1" x14ac:dyDescent="0.3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S1810" s="31"/>
      <c r="T1810" s="31"/>
    </row>
    <row r="1811" spans="1:20" s="14" customFormat="1" x14ac:dyDescent="0.3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S1811" s="31"/>
      <c r="T1811" s="31"/>
    </row>
    <row r="1812" spans="1:20" s="14" customFormat="1" x14ac:dyDescent="0.3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S1812" s="31"/>
      <c r="T1812" s="31"/>
    </row>
    <row r="1813" spans="1:20" s="14" customFormat="1" x14ac:dyDescent="0.3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S1813" s="31"/>
      <c r="T1813" s="31"/>
    </row>
    <row r="1814" spans="1:20" s="14" customFormat="1" x14ac:dyDescent="0.3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S1814" s="31"/>
      <c r="T1814" s="31"/>
    </row>
    <row r="1815" spans="1:20" s="14" customFormat="1" x14ac:dyDescent="0.3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S1815" s="31"/>
      <c r="T1815" s="31"/>
    </row>
    <row r="1816" spans="1:20" s="14" customFormat="1" x14ac:dyDescent="0.3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S1816" s="31"/>
      <c r="T1816" s="31"/>
    </row>
    <row r="1817" spans="1:20" s="14" customFormat="1" x14ac:dyDescent="0.3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S1817" s="31"/>
      <c r="T1817" s="31"/>
    </row>
    <row r="1818" spans="1:20" s="14" customFormat="1" x14ac:dyDescent="0.3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S1818" s="31"/>
      <c r="T1818" s="31"/>
    </row>
    <row r="1819" spans="1:20" s="14" customFormat="1" x14ac:dyDescent="0.3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S1819" s="31"/>
      <c r="T1819" s="31"/>
    </row>
    <row r="1820" spans="1:20" s="14" customFormat="1" x14ac:dyDescent="0.3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S1820" s="31"/>
      <c r="T1820" s="31"/>
    </row>
    <row r="1821" spans="1:20" s="14" customFormat="1" x14ac:dyDescent="0.3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S1821" s="31"/>
      <c r="T1821" s="31"/>
    </row>
    <row r="1822" spans="1:20" s="14" customFormat="1" x14ac:dyDescent="0.3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S1822" s="31"/>
      <c r="T1822" s="31"/>
    </row>
    <row r="1823" spans="1:20" s="14" customFormat="1" x14ac:dyDescent="0.3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S1823" s="31"/>
      <c r="T1823" s="31"/>
    </row>
    <row r="1824" spans="1:20" s="14" customFormat="1" x14ac:dyDescent="0.3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S1824" s="31"/>
      <c r="T1824" s="31"/>
    </row>
    <row r="1825" spans="1:20" s="14" customFormat="1" x14ac:dyDescent="0.3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S1825" s="31"/>
      <c r="T1825" s="31"/>
    </row>
    <row r="1826" spans="1:20" s="14" customFormat="1" x14ac:dyDescent="0.3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S1826" s="31"/>
      <c r="T1826" s="31"/>
    </row>
    <row r="1827" spans="1:20" s="14" customFormat="1" x14ac:dyDescent="0.3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S1827" s="31"/>
      <c r="T1827" s="31"/>
    </row>
    <row r="1828" spans="1:20" s="14" customFormat="1" x14ac:dyDescent="0.3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S1828" s="31"/>
      <c r="T1828" s="31"/>
    </row>
    <row r="1829" spans="1:20" s="14" customFormat="1" x14ac:dyDescent="0.3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S1829" s="31"/>
      <c r="T1829" s="31"/>
    </row>
    <row r="1830" spans="1:20" s="14" customFormat="1" x14ac:dyDescent="0.3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S1830" s="31"/>
      <c r="T1830" s="31"/>
    </row>
    <row r="1831" spans="1:20" s="14" customFormat="1" x14ac:dyDescent="0.3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S1831" s="31"/>
      <c r="T1831" s="31"/>
    </row>
    <row r="1832" spans="1:20" s="14" customFormat="1" x14ac:dyDescent="0.3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S1832" s="31"/>
      <c r="T1832" s="31"/>
    </row>
    <row r="1833" spans="1:20" s="14" customFormat="1" x14ac:dyDescent="0.3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S1833" s="31"/>
      <c r="T1833" s="31"/>
    </row>
    <row r="1834" spans="1:20" s="14" customFormat="1" x14ac:dyDescent="0.3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S1834" s="31"/>
      <c r="T1834" s="31"/>
    </row>
    <row r="1835" spans="1:20" s="14" customFormat="1" x14ac:dyDescent="0.3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S1835" s="31"/>
      <c r="T1835" s="31"/>
    </row>
    <row r="1836" spans="1:20" s="14" customFormat="1" x14ac:dyDescent="0.3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S1836" s="31"/>
      <c r="T1836" s="31"/>
    </row>
    <row r="1837" spans="1:20" s="14" customFormat="1" x14ac:dyDescent="0.3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S1837" s="31"/>
      <c r="T1837" s="31"/>
    </row>
    <row r="1838" spans="1:20" s="14" customFormat="1" x14ac:dyDescent="0.3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S1838" s="31"/>
      <c r="T1838" s="31"/>
    </row>
    <row r="1839" spans="1:20" s="14" customFormat="1" x14ac:dyDescent="0.3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S1839" s="31"/>
      <c r="T1839" s="31"/>
    </row>
    <row r="1840" spans="1:20" s="14" customFormat="1" x14ac:dyDescent="0.3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S1840" s="31"/>
      <c r="T1840" s="31"/>
    </row>
    <row r="1841" spans="1:20" s="14" customFormat="1" x14ac:dyDescent="0.3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S1841" s="31"/>
      <c r="T1841" s="31"/>
    </row>
    <row r="1842" spans="1:20" s="14" customFormat="1" x14ac:dyDescent="0.3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S1842" s="31"/>
      <c r="T1842" s="31"/>
    </row>
    <row r="1843" spans="1:20" s="14" customFormat="1" x14ac:dyDescent="0.3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S1843" s="31"/>
      <c r="T1843" s="31"/>
    </row>
    <row r="1844" spans="1:20" s="14" customFormat="1" x14ac:dyDescent="0.3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S1844" s="31"/>
      <c r="T1844" s="31"/>
    </row>
    <row r="1845" spans="1:20" s="14" customFormat="1" x14ac:dyDescent="0.3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S1845" s="31"/>
      <c r="T1845" s="31"/>
    </row>
    <row r="1846" spans="1:20" s="14" customFormat="1" x14ac:dyDescent="0.3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S1846" s="31"/>
      <c r="T1846" s="31"/>
    </row>
    <row r="1847" spans="1:20" s="14" customFormat="1" x14ac:dyDescent="0.3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S1847" s="31"/>
      <c r="T1847" s="31"/>
    </row>
    <row r="1848" spans="1:20" s="14" customFormat="1" x14ac:dyDescent="0.3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S1848" s="31"/>
      <c r="T1848" s="31"/>
    </row>
    <row r="1849" spans="1:20" s="14" customFormat="1" x14ac:dyDescent="0.3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S1849" s="31"/>
      <c r="T1849" s="31"/>
    </row>
    <row r="1850" spans="1:20" s="14" customFormat="1" x14ac:dyDescent="0.3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S1850" s="31"/>
      <c r="T1850" s="31"/>
    </row>
    <row r="1851" spans="1:20" s="14" customFormat="1" x14ac:dyDescent="0.3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S1851" s="31"/>
      <c r="T1851" s="31"/>
    </row>
    <row r="1852" spans="1:20" s="14" customFormat="1" x14ac:dyDescent="0.3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S1852" s="31"/>
      <c r="T1852" s="31"/>
    </row>
    <row r="1853" spans="1:20" s="14" customFormat="1" x14ac:dyDescent="0.3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S1853" s="31"/>
      <c r="T1853" s="31"/>
    </row>
    <row r="1854" spans="1:20" s="14" customFormat="1" x14ac:dyDescent="0.3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S1854" s="31"/>
      <c r="T1854" s="31"/>
    </row>
    <row r="1855" spans="1:20" s="14" customFormat="1" x14ac:dyDescent="0.3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S1855" s="31"/>
      <c r="T1855" s="31"/>
    </row>
    <row r="1856" spans="1:20" s="14" customFormat="1" x14ac:dyDescent="0.3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S1856" s="31"/>
      <c r="T1856" s="31"/>
    </row>
    <row r="1857" spans="1:20" s="14" customFormat="1" x14ac:dyDescent="0.3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S1857" s="31"/>
      <c r="T1857" s="31"/>
    </row>
    <row r="1858" spans="1:20" s="14" customFormat="1" x14ac:dyDescent="0.3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S1858" s="31"/>
      <c r="T1858" s="31"/>
    </row>
    <row r="1859" spans="1:20" s="14" customFormat="1" x14ac:dyDescent="0.3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S1859" s="31"/>
      <c r="T1859" s="31"/>
    </row>
    <row r="1860" spans="1:20" s="14" customFormat="1" x14ac:dyDescent="0.3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S1860" s="31"/>
      <c r="T1860" s="31"/>
    </row>
    <row r="1861" spans="1:20" s="14" customFormat="1" x14ac:dyDescent="0.3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S1861" s="31"/>
      <c r="T1861" s="31"/>
    </row>
    <row r="1862" spans="1:20" s="14" customFormat="1" x14ac:dyDescent="0.3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S1862" s="31"/>
      <c r="T1862" s="31"/>
    </row>
    <row r="1863" spans="1:20" s="14" customFormat="1" x14ac:dyDescent="0.3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S1863" s="31"/>
      <c r="T1863" s="31"/>
    </row>
    <row r="1864" spans="1:20" s="14" customFormat="1" x14ac:dyDescent="0.3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S1864" s="31"/>
      <c r="T1864" s="31"/>
    </row>
    <row r="1865" spans="1:20" s="14" customFormat="1" x14ac:dyDescent="0.3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S1865" s="31"/>
      <c r="T1865" s="31"/>
    </row>
    <row r="1866" spans="1:20" s="14" customFormat="1" x14ac:dyDescent="0.3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S1866" s="31"/>
      <c r="T1866" s="31"/>
    </row>
    <row r="1867" spans="1:20" s="14" customFormat="1" x14ac:dyDescent="0.3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S1867" s="31"/>
      <c r="T1867" s="31"/>
    </row>
    <row r="1868" spans="1:20" s="14" customFormat="1" x14ac:dyDescent="0.3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S1868" s="31"/>
      <c r="T1868" s="31"/>
    </row>
    <row r="1869" spans="1:20" s="14" customFormat="1" x14ac:dyDescent="0.3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S1869" s="31"/>
      <c r="T1869" s="31"/>
    </row>
    <row r="1870" spans="1:20" s="14" customFormat="1" x14ac:dyDescent="0.3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S1870" s="31"/>
      <c r="T1870" s="31"/>
    </row>
    <row r="1871" spans="1:20" s="14" customFormat="1" x14ac:dyDescent="0.3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S1871" s="31"/>
      <c r="T1871" s="31"/>
    </row>
    <row r="1872" spans="1:20" s="14" customFormat="1" x14ac:dyDescent="0.3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S1872" s="31"/>
      <c r="T1872" s="31"/>
    </row>
    <row r="1873" spans="1:20" s="14" customFormat="1" x14ac:dyDescent="0.3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S1873" s="31"/>
      <c r="T1873" s="31"/>
    </row>
    <row r="1874" spans="1:20" s="14" customFormat="1" x14ac:dyDescent="0.3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S1874" s="31"/>
      <c r="T1874" s="31"/>
    </row>
    <row r="1875" spans="1:20" s="14" customFormat="1" x14ac:dyDescent="0.3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S1875" s="31"/>
      <c r="T1875" s="31"/>
    </row>
    <row r="1876" spans="1:20" s="14" customFormat="1" x14ac:dyDescent="0.3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S1876" s="31"/>
      <c r="T1876" s="31"/>
    </row>
    <row r="1877" spans="1:20" s="14" customFormat="1" x14ac:dyDescent="0.3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S1877" s="31"/>
      <c r="T1877" s="31"/>
    </row>
    <row r="1878" spans="1:20" s="14" customFormat="1" x14ac:dyDescent="0.3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S1878" s="31"/>
      <c r="T1878" s="31"/>
    </row>
    <row r="1879" spans="1:20" s="14" customFormat="1" x14ac:dyDescent="0.3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S1879" s="31"/>
      <c r="T1879" s="31"/>
    </row>
    <row r="1880" spans="1:20" s="14" customFormat="1" x14ac:dyDescent="0.3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S1880" s="31"/>
      <c r="T1880" s="31"/>
    </row>
    <row r="1881" spans="1:20" s="14" customFormat="1" x14ac:dyDescent="0.3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S1881" s="31"/>
      <c r="T1881" s="31"/>
    </row>
    <row r="1882" spans="1:20" s="14" customFormat="1" x14ac:dyDescent="0.3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S1882" s="31"/>
      <c r="T1882" s="31"/>
    </row>
    <row r="1883" spans="1:20" s="14" customFormat="1" x14ac:dyDescent="0.3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S1883" s="31"/>
      <c r="T1883" s="31"/>
    </row>
    <row r="1884" spans="1:20" s="14" customFormat="1" x14ac:dyDescent="0.3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S1884" s="31"/>
      <c r="T1884" s="31"/>
    </row>
    <row r="1885" spans="1:20" s="14" customFormat="1" x14ac:dyDescent="0.3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S1885" s="31"/>
      <c r="T1885" s="31"/>
    </row>
    <row r="1886" spans="1:20" s="14" customFormat="1" x14ac:dyDescent="0.3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S1886" s="31"/>
      <c r="T1886" s="31"/>
    </row>
    <row r="1887" spans="1:20" s="14" customFormat="1" x14ac:dyDescent="0.3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S1887" s="31"/>
      <c r="T1887" s="31"/>
    </row>
    <row r="1888" spans="1:20" s="14" customFormat="1" x14ac:dyDescent="0.3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S1888" s="31"/>
      <c r="T1888" s="31"/>
    </row>
    <row r="1889" spans="1:20" s="14" customFormat="1" x14ac:dyDescent="0.3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S1889" s="31"/>
      <c r="T1889" s="31"/>
    </row>
    <row r="1890" spans="1:20" s="14" customFormat="1" x14ac:dyDescent="0.3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S1890" s="31"/>
      <c r="T1890" s="31"/>
    </row>
    <row r="1891" spans="1:20" s="14" customFormat="1" x14ac:dyDescent="0.3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S1891" s="31"/>
      <c r="T1891" s="31"/>
    </row>
    <row r="1892" spans="1:20" s="14" customFormat="1" x14ac:dyDescent="0.3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S1892" s="31"/>
      <c r="T1892" s="31"/>
    </row>
    <row r="1893" spans="1:20" s="14" customFormat="1" x14ac:dyDescent="0.3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S1893" s="31"/>
      <c r="T1893" s="31"/>
    </row>
    <row r="1894" spans="1:20" s="14" customFormat="1" x14ac:dyDescent="0.3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S1894" s="31"/>
      <c r="T1894" s="31"/>
    </row>
    <row r="1895" spans="1:20" s="14" customFormat="1" x14ac:dyDescent="0.3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S1895" s="31"/>
      <c r="T1895" s="31"/>
    </row>
    <row r="1896" spans="1:20" s="14" customFormat="1" x14ac:dyDescent="0.3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S1896" s="31"/>
      <c r="T1896" s="31"/>
    </row>
    <row r="1897" spans="1:20" s="14" customFormat="1" x14ac:dyDescent="0.3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S1897" s="31"/>
      <c r="T1897" s="31"/>
    </row>
    <row r="1898" spans="1:20" s="14" customFormat="1" x14ac:dyDescent="0.3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S1898" s="31"/>
      <c r="T1898" s="31"/>
    </row>
    <row r="1899" spans="1:20" s="14" customFormat="1" x14ac:dyDescent="0.3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S1899" s="31"/>
      <c r="T1899" s="31"/>
    </row>
    <row r="1900" spans="1:20" s="14" customFormat="1" x14ac:dyDescent="0.3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S1900" s="31"/>
      <c r="T1900" s="31"/>
    </row>
    <row r="1901" spans="1:20" s="14" customFormat="1" x14ac:dyDescent="0.3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S1901" s="31"/>
      <c r="T1901" s="31"/>
    </row>
    <row r="1902" spans="1:20" s="14" customFormat="1" x14ac:dyDescent="0.3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S1902" s="31"/>
      <c r="T1902" s="31"/>
    </row>
    <row r="1903" spans="1:20" s="14" customFormat="1" x14ac:dyDescent="0.3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S1903" s="31"/>
      <c r="T1903" s="31"/>
    </row>
    <row r="1904" spans="1:20" s="14" customFormat="1" x14ac:dyDescent="0.3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S1904" s="31"/>
      <c r="T1904" s="31"/>
    </row>
    <row r="1905" spans="1:20" s="14" customFormat="1" x14ac:dyDescent="0.3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S1905" s="31"/>
      <c r="T1905" s="31"/>
    </row>
    <row r="1906" spans="1:20" s="14" customFormat="1" x14ac:dyDescent="0.3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S1906" s="31"/>
      <c r="T1906" s="31"/>
    </row>
    <row r="1907" spans="1:20" s="14" customFormat="1" x14ac:dyDescent="0.3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S1907" s="31"/>
      <c r="T1907" s="31"/>
    </row>
    <row r="1908" spans="1:20" s="14" customFormat="1" x14ac:dyDescent="0.3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S1908" s="31"/>
      <c r="T1908" s="31"/>
    </row>
    <row r="1909" spans="1:20" s="14" customFormat="1" x14ac:dyDescent="0.3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S1909" s="31"/>
      <c r="T1909" s="31"/>
    </row>
    <row r="1910" spans="1:20" s="14" customFormat="1" x14ac:dyDescent="0.3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S1910" s="31"/>
      <c r="T1910" s="31"/>
    </row>
    <row r="1911" spans="1:20" s="14" customFormat="1" x14ac:dyDescent="0.3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S1911" s="31"/>
      <c r="T1911" s="31"/>
    </row>
    <row r="1912" spans="1:20" s="14" customFormat="1" x14ac:dyDescent="0.3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S1912" s="31"/>
      <c r="T1912" s="31"/>
    </row>
    <row r="1913" spans="1:20" s="14" customFormat="1" x14ac:dyDescent="0.3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S1913" s="31"/>
      <c r="T1913" s="31"/>
    </row>
    <row r="1914" spans="1:20" s="14" customFormat="1" x14ac:dyDescent="0.3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S1914" s="31"/>
      <c r="T1914" s="31"/>
    </row>
    <row r="1915" spans="1:20" s="14" customFormat="1" x14ac:dyDescent="0.3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S1915" s="31"/>
      <c r="T1915" s="31"/>
    </row>
    <row r="1916" spans="1:20" s="14" customFormat="1" x14ac:dyDescent="0.3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S1916" s="31"/>
      <c r="T1916" s="31"/>
    </row>
    <row r="1917" spans="1:20" s="14" customFormat="1" x14ac:dyDescent="0.3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S1917" s="31"/>
      <c r="T1917" s="31"/>
    </row>
    <row r="1918" spans="1:20" s="14" customFormat="1" x14ac:dyDescent="0.3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S1918" s="31"/>
      <c r="T1918" s="31"/>
    </row>
    <row r="1919" spans="1:20" s="14" customFormat="1" x14ac:dyDescent="0.3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S1919" s="31"/>
      <c r="T1919" s="31"/>
    </row>
    <row r="1920" spans="1:20" s="14" customFormat="1" x14ac:dyDescent="0.3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S1920" s="31"/>
      <c r="T1920" s="31"/>
    </row>
    <row r="1921" spans="1:20" s="14" customFormat="1" x14ac:dyDescent="0.3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S1921" s="31"/>
      <c r="T1921" s="31"/>
    </row>
    <row r="1922" spans="1:20" s="14" customFormat="1" x14ac:dyDescent="0.3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S1922" s="31"/>
      <c r="T1922" s="31"/>
    </row>
    <row r="1923" spans="1:20" s="14" customFormat="1" x14ac:dyDescent="0.3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S1923" s="31"/>
      <c r="T1923" s="31"/>
    </row>
    <row r="1924" spans="1:20" s="14" customFormat="1" x14ac:dyDescent="0.3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S1924" s="31"/>
      <c r="T1924" s="31"/>
    </row>
    <row r="1925" spans="1:20" s="14" customFormat="1" x14ac:dyDescent="0.3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S1925" s="31"/>
      <c r="T1925" s="31"/>
    </row>
    <row r="1926" spans="1:20" s="14" customFormat="1" x14ac:dyDescent="0.3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S1926" s="31"/>
      <c r="T1926" s="31"/>
    </row>
    <row r="1927" spans="1:20" s="14" customFormat="1" x14ac:dyDescent="0.3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S1927" s="31"/>
      <c r="T1927" s="31"/>
    </row>
    <row r="1928" spans="1:20" s="14" customFormat="1" x14ac:dyDescent="0.3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S1928" s="31"/>
      <c r="T1928" s="31"/>
    </row>
    <row r="1929" spans="1:20" s="14" customFormat="1" x14ac:dyDescent="0.3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S1929" s="31"/>
      <c r="T1929" s="31"/>
    </row>
    <row r="1930" spans="1:20" s="14" customFormat="1" x14ac:dyDescent="0.3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S1930" s="31"/>
      <c r="T1930" s="31"/>
    </row>
    <row r="1931" spans="1:20" s="14" customFormat="1" x14ac:dyDescent="0.3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S1931" s="31"/>
      <c r="T1931" s="31"/>
    </row>
    <row r="1932" spans="1:20" s="14" customFormat="1" x14ac:dyDescent="0.3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S1932" s="31"/>
      <c r="T1932" s="31"/>
    </row>
    <row r="1933" spans="1:20" s="14" customFormat="1" x14ac:dyDescent="0.3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S1933" s="31"/>
      <c r="T1933" s="31"/>
    </row>
    <row r="1934" spans="1:20" s="14" customFormat="1" x14ac:dyDescent="0.3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S1934" s="31"/>
      <c r="T1934" s="31"/>
    </row>
    <row r="1935" spans="1:20" s="14" customFormat="1" x14ac:dyDescent="0.3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S1935" s="31"/>
      <c r="T1935" s="31"/>
    </row>
    <row r="1936" spans="1:20" s="14" customFormat="1" x14ac:dyDescent="0.3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S1936" s="31"/>
      <c r="T1936" s="31"/>
    </row>
    <row r="1937" spans="1:20" s="14" customFormat="1" x14ac:dyDescent="0.3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S1937" s="31"/>
      <c r="T1937" s="31"/>
    </row>
    <row r="1938" spans="1:20" s="14" customFormat="1" x14ac:dyDescent="0.3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S1938" s="31"/>
      <c r="T1938" s="31"/>
    </row>
    <row r="1939" spans="1:20" s="14" customFormat="1" x14ac:dyDescent="0.3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S1939" s="31"/>
      <c r="T1939" s="31"/>
    </row>
    <row r="1940" spans="1:20" s="14" customFormat="1" x14ac:dyDescent="0.3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S1940" s="31"/>
      <c r="T1940" s="31"/>
    </row>
    <row r="1941" spans="1:20" s="14" customFormat="1" x14ac:dyDescent="0.3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S1941" s="31"/>
      <c r="T1941" s="31"/>
    </row>
    <row r="1942" spans="1:20" s="14" customFormat="1" x14ac:dyDescent="0.3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S1942" s="31"/>
      <c r="T1942" s="31"/>
    </row>
    <row r="1943" spans="1:20" s="14" customFormat="1" x14ac:dyDescent="0.3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S1943" s="31"/>
      <c r="T1943" s="31"/>
    </row>
    <row r="1944" spans="1:20" s="14" customFormat="1" x14ac:dyDescent="0.3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S1944" s="31"/>
      <c r="T1944" s="31"/>
    </row>
    <row r="1945" spans="1:20" s="14" customFormat="1" x14ac:dyDescent="0.3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S1945" s="31"/>
      <c r="T1945" s="31"/>
    </row>
    <row r="1946" spans="1:20" s="14" customFormat="1" x14ac:dyDescent="0.3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S1946" s="31"/>
      <c r="T1946" s="31"/>
    </row>
    <row r="1947" spans="1:20" s="14" customFormat="1" x14ac:dyDescent="0.3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S1947" s="31"/>
      <c r="T1947" s="31"/>
    </row>
    <row r="1948" spans="1:20" s="14" customFormat="1" x14ac:dyDescent="0.3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S1948" s="31"/>
      <c r="T1948" s="31"/>
    </row>
    <row r="1949" spans="1:20" s="14" customFormat="1" x14ac:dyDescent="0.3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S1949" s="31"/>
      <c r="T1949" s="31"/>
    </row>
    <row r="1950" spans="1:20" s="14" customFormat="1" x14ac:dyDescent="0.3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S1950" s="31"/>
      <c r="T1950" s="31"/>
    </row>
    <row r="1951" spans="1:20" s="14" customFormat="1" x14ac:dyDescent="0.3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S1951" s="31"/>
      <c r="T1951" s="31"/>
    </row>
    <row r="1952" spans="1:20" s="14" customFormat="1" x14ac:dyDescent="0.3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S1952" s="31"/>
      <c r="T1952" s="31"/>
    </row>
    <row r="1953" spans="1:20" s="14" customFormat="1" x14ac:dyDescent="0.3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S1953" s="31"/>
      <c r="T1953" s="31"/>
    </row>
    <row r="1954" spans="1:20" s="14" customFormat="1" x14ac:dyDescent="0.3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S1954" s="31"/>
      <c r="T1954" s="31"/>
    </row>
    <row r="1955" spans="1:20" s="14" customFormat="1" x14ac:dyDescent="0.3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S1955" s="31"/>
      <c r="T1955" s="31"/>
    </row>
    <row r="1956" spans="1:20" s="14" customFormat="1" x14ac:dyDescent="0.3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S1956" s="31"/>
      <c r="T1956" s="31"/>
    </row>
    <row r="1957" spans="1:20" s="14" customFormat="1" x14ac:dyDescent="0.3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S1957" s="31"/>
      <c r="T1957" s="31"/>
    </row>
    <row r="1958" spans="1:20" s="14" customFormat="1" x14ac:dyDescent="0.3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S1958" s="31"/>
      <c r="T1958" s="31"/>
    </row>
    <row r="1959" spans="1:20" s="14" customFormat="1" x14ac:dyDescent="0.3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S1959" s="31"/>
      <c r="T1959" s="31"/>
    </row>
    <row r="1960" spans="1:20" s="14" customFormat="1" x14ac:dyDescent="0.3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S1960" s="31"/>
      <c r="T1960" s="31"/>
    </row>
    <row r="1961" spans="1:20" s="14" customFormat="1" x14ac:dyDescent="0.3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S1961" s="31"/>
      <c r="T1961" s="31"/>
    </row>
    <row r="1962" spans="1:20" s="14" customFormat="1" x14ac:dyDescent="0.3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S1962" s="31"/>
      <c r="T1962" s="31"/>
    </row>
    <row r="1963" spans="1:20" s="14" customFormat="1" x14ac:dyDescent="0.3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S1963" s="31"/>
      <c r="T1963" s="31"/>
    </row>
    <row r="1964" spans="1:20" s="14" customFormat="1" x14ac:dyDescent="0.3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S1964" s="31"/>
      <c r="T1964" s="31"/>
    </row>
    <row r="1965" spans="1:20" s="14" customFormat="1" x14ac:dyDescent="0.3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S1965" s="31"/>
      <c r="T1965" s="31"/>
    </row>
    <row r="1966" spans="1:20" s="14" customFormat="1" x14ac:dyDescent="0.3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S1966" s="31"/>
      <c r="T1966" s="31"/>
    </row>
    <row r="1967" spans="1:20" s="14" customFormat="1" x14ac:dyDescent="0.3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S1967" s="31"/>
      <c r="T1967" s="31"/>
    </row>
    <row r="1968" spans="1:20" s="14" customFormat="1" x14ac:dyDescent="0.3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S1968" s="31"/>
      <c r="T1968" s="31"/>
    </row>
    <row r="1969" spans="1:20" s="14" customFormat="1" x14ac:dyDescent="0.3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S1969" s="31"/>
      <c r="T1969" s="31"/>
    </row>
    <row r="1970" spans="1:20" s="14" customFormat="1" x14ac:dyDescent="0.3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S1970" s="31"/>
      <c r="T1970" s="31"/>
    </row>
    <row r="1971" spans="1:20" s="14" customFormat="1" x14ac:dyDescent="0.3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S1971" s="31"/>
      <c r="T1971" s="31"/>
    </row>
    <row r="1972" spans="1:20" s="14" customFormat="1" x14ac:dyDescent="0.3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S1972" s="31"/>
      <c r="T1972" s="31"/>
    </row>
    <row r="1973" spans="1:20" s="14" customFormat="1" x14ac:dyDescent="0.3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S1973" s="31"/>
      <c r="T1973" s="31"/>
    </row>
    <row r="1974" spans="1:20" s="14" customFormat="1" x14ac:dyDescent="0.3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S1974" s="31"/>
      <c r="T1974" s="31"/>
    </row>
    <row r="1975" spans="1:20" s="14" customFormat="1" x14ac:dyDescent="0.3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S1975" s="31"/>
      <c r="T1975" s="31"/>
    </row>
    <row r="1976" spans="1:20" s="14" customFormat="1" x14ac:dyDescent="0.3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S1976" s="31"/>
      <c r="T1976" s="31"/>
    </row>
    <row r="1977" spans="1:20" s="14" customFormat="1" x14ac:dyDescent="0.3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S1977" s="31"/>
      <c r="T1977" s="31"/>
    </row>
    <row r="1978" spans="1:20" s="14" customFormat="1" x14ac:dyDescent="0.3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S1978" s="31"/>
      <c r="T1978" s="31"/>
    </row>
    <row r="1979" spans="1:20" s="14" customFormat="1" x14ac:dyDescent="0.3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S1979" s="31"/>
      <c r="T1979" s="31"/>
    </row>
    <row r="1980" spans="1:20" s="14" customFormat="1" x14ac:dyDescent="0.3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S1980" s="31"/>
      <c r="T1980" s="31"/>
    </row>
    <row r="1981" spans="1:20" s="14" customFormat="1" x14ac:dyDescent="0.3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S1981" s="31"/>
      <c r="T1981" s="31"/>
    </row>
    <row r="1982" spans="1:20" s="14" customFormat="1" x14ac:dyDescent="0.3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S1982" s="31"/>
      <c r="T1982" s="31"/>
    </row>
    <row r="1983" spans="1:20" s="14" customFormat="1" x14ac:dyDescent="0.3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S1983" s="31"/>
      <c r="T1983" s="31"/>
    </row>
    <row r="1984" spans="1:20" s="14" customFormat="1" x14ac:dyDescent="0.3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S1984" s="31"/>
      <c r="T1984" s="31"/>
    </row>
    <row r="1985" spans="1:20" s="14" customFormat="1" x14ac:dyDescent="0.3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S1985" s="31"/>
      <c r="T1985" s="31"/>
    </row>
    <row r="1986" spans="1:20" s="14" customFormat="1" x14ac:dyDescent="0.3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S1986" s="31"/>
      <c r="T1986" s="31"/>
    </row>
    <row r="1987" spans="1:20" s="14" customFormat="1" x14ac:dyDescent="0.3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S1987" s="31"/>
      <c r="T1987" s="31"/>
    </row>
    <row r="1988" spans="1:20" s="14" customFormat="1" x14ac:dyDescent="0.3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S1988" s="31"/>
      <c r="T1988" s="31"/>
    </row>
    <row r="1989" spans="1:20" s="14" customFormat="1" x14ac:dyDescent="0.3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S1989" s="31"/>
      <c r="T1989" s="31"/>
    </row>
    <row r="1990" spans="1:20" s="14" customFormat="1" x14ac:dyDescent="0.3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S1990" s="31"/>
      <c r="T1990" s="31"/>
    </row>
    <row r="1991" spans="1:20" s="14" customFormat="1" x14ac:dyDescent="0.3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S1991" s="31"/>
      <c r="T1991" s="31"/>
    </row>
    <row r="1992" spans="1:20" s="14" customFormat="1" x14ac:dyDescent="0.3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S1992" s="31"/>
      <c r="T1992" s="31"/>
    </row>
    <row r="1993" spans="1:20" s="14" customFormat="1" x14ac:dyDescent="0.3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S1993" s="31"/>
      <c r="T1993" s="31"/>
    </row>
    <row r="1994" spans="1:20" s="14" customFormat="1" x14ac:dyDescent="0.3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S1994" s="31"/>
      <c r="T1994" s="31"/>
    </row>
    <row r="1995" spans="1:20" s="14" customFormat="1" x14ac:dyDescent="0.3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S1995" s="31"/>
      <c r="T1995" s="31"/>
    </row>
    <row r="1996" spans="1:20" s="14" customFormat="1" x14ac:dyDescent="0.3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S1996" s="31"/>
      <c r="T1996" s="31"/>
    </row>
    <row r="1997" spans="1:20" s="14" customFormat="1" x14ac:dyDescent="0.3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S1997" s="31"/>
      <c r="T1997" s="31"/>
    </row>
    <row r="1998" spans="1:20" s="14" customFormat="1" x14ac:dyDescent="0.3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S1998" s="31"/>
      <c r="T1998" s="31"/>
    </row>
    <row r="1999" spans="1:20" s="14" customFormat="1" x14ac:dyDescent="0.3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S1999" s="31"/>
      <c r="T1999" s="31"/>
    </row>
    <row r="2000" spans="1:20" s="14" customFormat="1" x14ac:dyDescent="0.3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S2000" s="31"/>
      <c r="T2000" s="31"/>
    </row>
    <row r="2001" spans="1:20" s="14" customFormat="1" x14ac:dyDescent="0.3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S2001" s="31"/>
      <c r="T2001" s="31"/>
    </row>
    <row r="2002" spans="1:20" s="14" customFormat="1" x14ac:dyDescent="0.3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S2002" s="31"/>
      <c r="T2002" s="31"/>
    </row>
    <row r="2003" spans="1:20" s="14" customFormat="1" x14ac:dyDescent="0.3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S2003" s="31"/>
      <c r="T2003" s="31"/>
    </row>
    <row r="2004" spans="1:20" s="14" customFormat="1" x14ac:dyDescent="0.3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S2004" s="31"/>
      <c r="T2004" s="31"/>
    </row>
    <row r="2005" spans="1:20" s="14" customFormat="1" x14ac:dyDescent="0.3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S2005" s="31"/>
      <c r="T2005" s="31"/>
    </row>
    <row r="2006" spans="1:20" s="14" customFormat="1" x14ac:dyDescent="0.3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S2006" s="31"/>
      <c r="T2006" s="31"/>
    </row>
    <row r="2007" spans="1:20" s="14" customFormat="1" x14ac:dyDescent="0.3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S2007" s="31"/>
      <c r="T2007" s="31"/>
    </row>
    <row r="2008" spans="1:20" s="14" customFormat="1" x14ac:dyDescent="0.3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S2008" s="31"/>
      <c r="T2008" s="31"/>
    </row>
    <row r="2009" spans="1:20" s="14" customFormat="1" x14ac:dyDescent="0.3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S2009" s="31"/>
      <c r="T2009" s="31"/>
    </row>
    <row r="2010" spans="1:20" s="14" customFormat="1" x14ac:dyDescent="0.3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S2010" s="31"/>
      <c r="T2010" s="31"/>
    </row>
    <row r="2011" spans="1:20" s="14" customFormat="1" x14ac:dyDescent="0.3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S2011" s="31"/>
      <c r="T2011" s="31"/>
    </row>
    <row r="2012" spans="1:20" s="14" customFormat="1" x14ac:dyDescent="0.3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S2012" s="31"/>
      <c r="T2012" s="31"/>
    </row>
    <row r="2013" spans="1:20" s="14" customFormat="1" x14ac:dyDescent="0.3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S2013" s="31"/>
      <c r="T2013" s="31"/>
    </row>
    <row r="2014" spans="1:20" s="14" customFormat="1" x14ac:dyDescent="0.3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S2014" s="31"/>
      <c r="T2014" s="31"/>
    </row>
    <row r="2015" spans="1:20" s="14" customFormat="1" x14ac:dyDescent="0.3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S2015" s="31"/>
      <c r="T2015" s="31"/>
    </row>
    <row r="2016" spans="1:20" s="14" customFormat="1" x14ac:dyDescent="0.3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S2016" s="31"/>
      <c r="T2016" s="31"/>
    </row>
    <row r="2017" spans="1:20" s="14" customFormat="1" x14ac:dyDescent="0.3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S2017" s="31"/>
      <c r="T2017" s="31"/>
    </row>
    <row r="2018" spans="1:20" s="14" customFormat="1" x14ac:dyDescent="0.3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S2018" s="31"/>
      <c r="T2018" s="31"/>
    </row>
    <row r="2019" spans="1:20" s="14" customFormat="1" x14ac:dyDescent="0.3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S2019" s="31"/>
      <c r="T2019" s="31"/>
    </row>
    <row r="2020" spans="1:20" s="14" customFormat="1" x14ac:dyDescent="0.3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S2020" s="31"/>
      <c r="T2020" s="31"/>
    </row>
    <row r="2021" spans="1:20" s="14" customFormat="1" x14ac:dyDescent="0.3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S2021" s="31"/>
      <c r="T2021" s="31"/>
    </row>
    <row r="2022" spans="1:20" s="14" customFormat="1" x14ac:dyDescent="0.3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S2022" s="31"/>
      <c r="T2022" s="31"/>
    </row>
    <row r="2023" spans="1:20" s="14" customFormat="1" x14ac:dyDescent="0.3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S2023" s="31"/>
      <c r="T2023" s="31"/>
    </row>
    <row r="2024" spans="1:20" s="14" customFormat="1" x14ac:dyDescent="0.3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S2024" s="31"/>
      <c r="T2024" s="31"/>
    </row>
    <row r="2025" spans="1:20" s="14" customFormat="1" x14ac:dyDescent="0.3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S2025" s="31"/>
      <c r="T2025" s="31"/>
    </row>
    <row r="2026" spans="1:20" s="14" customFormat="1" x14ac:dyDescent="0.3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S2026" s="31"/>
      <c r="T2026" s="31"/>
    </row>
    <row r="2027" spans="1:20" s="14" customFormat="1" x14ac:dyDescent="0.3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S2027" s="31"/>
      <c r="T2027" s="31"/>
    </row>
    <row r="2028" spans="1:20" s="14" customFormat="1" x14ac:dyDescent="0.3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S2028" s="31"/>
      <c r="T2028" s="31"/>
    </row>
    <row r="2029" spans="1:20" s="14" customFormat="1" x14ac:dyDescent="0.3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S2029" s="31"/>
      <c r="T2029" s="31"/>
    </row>
    <row r="2030" spans="1:20" s="14" customFormat="1" x14ac:dyDescent="0.3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S2030" s="31"/>
      <c r="T2030" s="31"/>
    </row>
    <row r="2031" spans="1:20" s="14" customFormat="1" x14ac:dyDescent="0.3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S2031" s="31"/>
      <c r="T2031" s="31"/>
    </row>
    <row r="2032" spans="1:20" s="14" customFormat="1" x14ac:dyDescent="0.3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S2032" s="31"/>
      <c r="T2032" s="31"/>
    </row>
    <row r="2033" spans="1:20" s="14" customFormat="1" x14ac:dyDescent="0.3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S2033" s="31"/>
      <c r="T2033" s="31"/>
    </row>
    <row r="2034" spans="1:20" s="14" customFormat="1" x14ac:dyDescent="0.3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S2034" s="31"/>
      <c r="T2034" s="31"/>
    </row>
    <row r="2035" spans="1:20" s="14" customFormat="1" x14ac:dyDescent="0.3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S2035" s="31"/>
      <c r="T2035" s="31"/>
    </row>
    <row r="2036" spans="1:20" s="14" customFormat="1" x14ac:dyDescent="0.3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S2036" s="31"/>
      <c r="T2036" s="31"/>
    </row>
    <row r="2037" spans="1:20" s="14" customFormat="1" x14ac:dyDescent="0.3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S2037" s="31"/>
      <c r="T2037" s="31"/>
    </row>
    <row r="2038" spans="1:20" s="14" customFormat="1" x14ac:dyDescent="0.3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S2038" s="31"/>
      <c r="T2038" s="31"/>
    </row>
    <row r="2039" spans="1:20" s="14" customFormat="1" x14ac:dyDescent="0.3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S2039" s="31"/>
      <c r="T2039" s="31"/>
    </row>
    <row r="2040" spans="1:20" s="14" customFormat="1" x14ac:dyDescent="0.3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S2040" s="31"/>
      <c r="T2040" s="31"/>
    </row>
    <row r="2041" spans="1:20" s="14" customFormat="1" x14ac:dyDescent="0.3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S2041" s="31"/>
      <c r="T2041" s="31"/>
    </row>
    <row r="2042" spans="1:20" s="14" customFormat="1" x14ac:dyDescent="0.3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S2042" s="31"/>
      <c r="T2042" s="31"/>
    </row>
    <row r="2043" spans="1:20" s="14" customFormat="1" x14ac:dyDescent="0.3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S2043" s="31"/>
      <c r="T2043" s="31"/>
    </row>
    <row r="2044" spans="1:20" s="14" customFormat="1" x14ac:dyDescent="0.3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S2044" s="31"/>
      <c r="T2044" s="31"/>
    </row>
    <row r="2045" spans="1:20" s="14" customFormat="1" x14ac:dyDescent="0.3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S2045" s="31"/>
      <c r="T2045" s="31"/>
    </row>
    <row r="2046" spans="1:20" s="14" customFormat="1" x14ac:dyDescent="0.3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S2046" s="31"/>
      <c r="T2046" s="31"/>
    </row>
    <row r="2047" spans="1:20" s="14" customFormat="1" x14ac:dyDescent="0.3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S2047" s="31"/>
      <c r="T2047" s="31"/>
    </row>
    <row r="2048" spans="1:20" s="14" customFormat="1" x14ac:dyDescent="0.3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S2048" s="31"/>
      <c r="T2048" s="31"/>
    </row>
    <row r="2049" spans="1:20" s="14" customFormat="1" x14ac:dyDescent="0.3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S2049" s="31"/>
      <c r="T2049" s="31"/>
    </row>
    <row r="2050" spans="1:20" s="14" customFormat="1" x14ac:dyDescent="0.3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S2050" s="31"/>
      <c r="T2050" s="31"/>
    </row>
    <row r="2051" spans="1:20" s="14" customFormat="1" x14ac:dyDescent="0.3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S2051" s="31"/>
      <c r="T2051" s="31"/>
    </row>
    <row r="2052" spans="1:20" s="14" customFormat="1" x14ac:dyDescent="0.3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S2052" s="31"/>
      <c r="T2052" s="31"/>
    </row>
    <row r="2053" spans="1:20" s="14" customFormat="1" x14ac:dyDescent="0.3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S2053" s="31"/>
      <c r="T2053" s="31"/>
    </row>
    <row r="2054" spans="1:20" s="14" customFormat="1" x14ac:dyDescent="0.3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S2054" s="31"/>
      <c r="T2054" s="31"/>
    </row>
    <row r="2055" spans="1:20" s="14" customFormat="1" x14ac:dyDescent="0.3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S2055" s="31"/>
      <c r="T2055" s="31"/>
    </row>
    <row r="2056" spans="1:20" s="14" customFormat="1" x14ac:dyDescent="0.3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S2056" s="31"/>
      <c r="T2056" s="31"/>
    </row>
    <row r="2057" spans="1:20" s="14" customFormat="1" x14ac:dyDescent="0.3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S2057" s="31"/>
      <c r="T2057" s="31"/>
    </row>
    <row r="2058" spans="1:20" s="14" customFormat="1" x14ac:dyDescent="0.3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S2058" s="31"/>
      <c r="T2058" s="31"/>
    </row>
    <row r="2059" spans="1:20" s="14" customFormat="1" x14ac:dyDescent="0.3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S2059" s="31"/>
      <c r="T2059" s="31"/>
    </row>
    <row r="2060" spans="1:20" s="14" customFormat="1" x14ac:dyDescent="0.3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S2060" s="31"/>
      <c r="T2060" s="31"/>
    </row>
    <row r="2061" spans="1:20" s="14" customFormat="1" x14ac:dyDescent="0.3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S2061" s="31"/>
      <c r="T2061" s="31"/>
    </row>
    <row r="2062" spans="1:20" s="14" customFormat="1" x14ac:dyDescent="0.3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S2062" s="31"/>
      <c r="T2062" s="31"/>
    </row>
    <row r="2063" spans="1:20" s="14" customFormat="1" x14ac:dyDescent="0.3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S2063" s="31"/>
      <c r="T2063" s="31"/>
    </row>
    <row r="2064" spans="1:20" s="14" customFormat="1" x14ac:dyDescent="0.3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S2064" s="31"/>
      <c r="T2064" s="31"/>
    </row>
    <row r="2065" spans="1:20" s="14" customFormat="1" x14ac:dyDescent="0.3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S2065" s="31"/>
      <c r="T2065" s="31"/>
    </row>
    <row r="2066" spans="1:20" s="14" customFormat="1" x14ac:dyDescent="0.3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S2066" s="31"/>
      <c r="T2066" s="31"/>
    </row>
    <row r="2067" spans="1:20" s="14" customFormat="1" x14ac:dyDescent="0.3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S2067" s="31"/>
      <c r="T2067" s="31"/>
    </row>
    <row r="2068" spans="1:20" s="14" customFormat="1" x14ac:dyDescent="0.3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S2068" s="31"/>
      <c r="T2068" s="31"/>
    </row>
    <row r="2069" spans="1:20" s="14" customFormat="1" x14ac:dyDescent="0.3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S2069" s="31"/>
      <c r="T2069" s="31"/>
    </row>
    <row r="2070" spans="1:20" s="14" customFormat="1" x14ac:dyDescent="0.3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S2070" s="31"/>
      <c r="T2070" s="31"/>
    </row>
    <row r="2071" spans="1:20" s="14" customFormat="1" x14ac:dyDescent="0.3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S2071" s="31"/>
      <c r="T2071" s="31"/>
    </row>
    <row r="2072" spans="1:20" s="14" customFormat="1" x14ac:dyDescent="0.3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S2072" s="31"/>
      <c r="T2072" s="31"/>
    </row>
    <row r="2073" spans="1:20" s="14" customFormat="1" x14ac:dyDescent="0.3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S2073" s="31"/>
      <c r="T2073" s="31"/>
    </row>
    <row r="2074" spans="1:20" s="14" customFormat="1" x14ac:dyDescent="0.3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S2074" s="31"/>
      <c r="T2074" s="31"/>
    </row>
    <row r="2075" spans="1:20" s="14" customFormat="1" x14ac:dyDescent="0.3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S2075" s="31"/>
      <c r="T2075" s="31"/>
    </row>
    <row r="2076" spans="1:20" s="14" customFormat="1" x14ac:dyDescent="0.3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S2076" s="31"/>
      <c r="T2076" s="31"/>
    </row>
    <row r="2077" spans="1:20" s="14" customFormat="1" x14ac:dyDescent="0.3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S2077" s="31"/>
      <c r="T2077" s="31"/>
    </row>
    <row r="2078" spans="1:20" s="14" customFormat="1" x14ac:dyDescent="0.3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S2078" s="31"/>
      <c r="T2078" s="31"/>
    </row>
    <row r="2079" spans="1:20" s="14" customFormat="1" x14ac:dyDescent="0.3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S2079" s="31"/>
      <c r="T2079" s="31"/>
    </row>
    <row r="2080" spans="1:20" s="14" customFormat="1" x14ac:dyDescent="0.3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S2080" s="31"/>
      <c r="T2080" s="31"/>
    </row>
    <row r="2081" spans="1:20" s="14" customFormat="1" x14ac:dyDescent="0.3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S2081" s="31"/>
      <c r="T2081" s="31"/>
    </row>
    <row r="2082" spans="1:20" s="14" customFormat="1" x14ac:dyDescent="0.3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S2082" s="31"/>
      <c r="T2082" s="31"/>
    </row>
    <row r="2083" spans="1:20" s="14" customFormat="1" x14ac:dyDescent="0.3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S2083" s="31"/>
      <c r="T2083" s="31"/>
    </row>
    <row r="2084" spans="1:20" s="14" customFormat="1" x14ac:dyDescent="0.3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S2084" s="31"/>
      <c r="T2084" s="31"/>
    </row>
    <row r="2085" spans="1:20" s="14" customFormat="1" x14ac:dyDescent="0.3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S2085" s="31"/>
      <c r="T2085" s="31"/>
    </row>
    <row r="2086" spans="1:20" s="14" customFormat="1" x14ac:dyDescent="0.3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S2086" s="31"/>
      <c r="T2086" s="31"/>
    </row>
    <row r="2087" spans="1:20" s="14" customFormat="1" x14ac:dyDescent="0.3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S2087" s="31"/>
      <c r="T2087" s="31"/>
    </row>
    <row r="2088" spans="1:20" s="14" customFormat="1" x14ac:dyDescent="0.3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S2088" s="31"/>
      <c r="T2088" s="31"/>
    </row>
    <row r="2089" spans="1:20" s="14" customFormat="1" x14ac:dyDescent="0.3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S2089" s="31"/>
      <c r="T2089" s="31"/>
    </row>
    <row r="2090" spans="1:20" s="14" customFormat="1" x14ac:dyDescent="0.3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S2090" s="31"/>
      <c r="T2090" s="31"/>
    </row>
    <row r="2091" spans="1:20" s="14" customFormat="1" x14ac:dyDescent="0.3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S2091" s="31"/>
      <c r="T2091" s="31"/>
    </row>
    <row r="2092" spans="1:20" s="14" customFormat="1" x14ac:dyDescent="0.3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S2092" s="31"/>
      <c r="T2092" s="31"/>
    </row>
    <row r="2093" spans="1:20" s="14" customFormat="1" x14ac:dyDescent="0.3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S2093" s="31"/>
      <c r="T2093" s="31"/>
    </row>
    <row r="2094" spans="1:20" s="14" customFormat="1" x14ac:dyDescent="0.3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S2094" s="31"/>
      <c r="T2094" s="31"/>
    </row>
    <row r="2095" spans="1:20" s="14" customFormat="1" x14ac:dyDescent="0.3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S2095" s="31"/>
      <c r="T2095" s="31"/>
    </row>
    <row r="2096" spans="1:20" s="14" customFormat="1" x14ac:dyDescent="0.3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S2096" s="31"/>
      <c r="T2096" s="31"/>
    </row>
    <row r="2097" spans="1:20" s="14" customFormat="1" x14ac:dyDescent="0.3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S2097" s="31"/>
      <c r="T2097" s="31"/>
    </row>
    <row r="2098" spans="1:20" s="14" customFormat="1" x14ac:dyDescent="0.3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S2098" s="31"/>
      <c r="T2098" s="31"/>
    </row>
    <row r="2099" spans="1:20" s="14" customFormat="1" x14ac:dyDescent="0.3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S2099" s="31"/>
      <c r="T2099" s="31"/>
    </row>
    <row r="2100" spans="1:20" s="14" customFormat="1" x14ac:dyDescent="0.3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S2100" s="31"/>
      <c r="T2100" s="31"/>
    </row>
    <row r="2101" spans="1:20" s="14" customFormat="1" x14ac:dyDescent="0.3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S2101" s="31"/>
      <c r="T2101" s="31"/>
    </row>
    <row r="2102" spans="1:20" s="14" customFormat="1" x14ac:dyDescent="0.3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S2102" s="31"/>
      <c r="T2102" s="31"/>
    </row>
    <row r="2103" spans="1:20" s="14" customFormat="1" x14ac:dyDescent="0.3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S2103" s="31"/>
      <c r="T2103" s="31"/>
    </row>
    <row r="2104" spans="1:20" s="14" customFormat="1" x14ac:dyDescent="0.3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S2104" s="31"/>
      <c r="T2104" s="31"/>
    </row>
    <row r="2105" spans="1:20" s="14" customFormat="1" x14ac:dyDescent="0.3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S2105" s="31"/>
      <c r="T2105" s="31"/>
    </row>
    <row r="2106" spans="1:20" s="14" customFormat="1" x14ac:dyDescent="0.3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S2106" s="31"/>
      <c r="T2106" s="31"/>
    </row>
    <row r="2107" spans="1:20" s="14" customFormat="1" x14ac:dyDescent="0.3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S2107" s="31"/>
      <c r="T2107" s="31"/>
    </row>
    <row r="2108" spans="1:20" s="14" customFormat="1" x14ac:dyDescent="0.3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S2108" s="31"/>
      <c r="T2108" s="31"/>
    </row>
    <row r="2109" spans="1:20" s="14" customFormat="1" x14ac:dyDescent="0.3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S2109" s="31"/>
      <c r="T2109" s="31"/>
    </row>
    <row r="2110" spans="1:20" s="14" customFormat="1" x14ac:dyDescent="0.3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S2110" s="31"/>
      <c r="T2110" s="31"/>
    </row>
    <row r="2111" spans="1:20" s="14" customFormat="1" x14ac:dyDescent="0.3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S2111" s="31"/>
      <c r="T2111" s="31"/>
    </row>
    <row r="2112" spans="1:20" s="14" customFormat="1" x14ac:dyDescent="0.3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S2112" s="31"/>
      <c r="T2112" s="31"/>
    </row>
    <row r="2113" spans="1:20" s="14" customFormat="1" x14ac:dyDescent="0.3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S2113" s="31"/>
      <c r="T2113" s="31"/>
    </row>
    <row r="2114" spans="1:20" s="14" customFormat="1" x14ac:dyDescent="0.3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S2114" s="31"/>
      <c r="T2114" s="31"/>
    </row>
    <row r="2115" spans="1:20" s="14" customFormat="1" x14ac:dyDescent="0.3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S2115" s="31"/>
      <c r="T2115" s="31"/>
    </row>
    <row r="2116" spans="1:20" s="14" customFormat="1" x14ac:dyDescent="0.3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S2116" s="31"/>
      <c r="T2116" s="31"/>
    </row>
    <row r="2117" spans="1:20" s="14" customFormat="1" x14ac:dyDescent="0.3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S2117" s="31"/>
      <c r="T2117" s="31"/>
    </row>
    <row r="2118" spans="1:20" s="14" customFormat="1" x14ac:dyDescent="0.3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S2118" s="31"/>
      <c r="T2118" s="31"/>
    </row>
    <row r="2119" spans="1:20" s="14" customFormat="1" x14ac:dyDescent="0.3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S2119" s="31"/>
      <c r="T2119" s="31"/>
    </row>
    <row r="2120" spans="1:20" s="14" customFormat="1" x14ac:dyDescent="0.3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S2120" s="31"/>
      <c r="T2120" s="31"/>
    </row>
    <row r="2121" spans="1:20" s="14" customFormat="1" x14ac:dyDescent="0.3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S2121" s="31"/>
      <c r="T2121" s="31"/>
    </row>
    <row r="2122" spans="1:20" s="14" customFormat="1" x14ac:dyDescent="0.3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S2122" s="31"/>
      <c r="T2122" s="31"/>
    </row>
    <row r="2123" spans="1:20" s="14" customFormat="1" x14ac:dyDescent="0.3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S2123" s="31"/>
      <c r="T2123" s="31"/>
    </row>
    <row r="2124" spans="1:20" s="14" customFormat="1" x14ac:dyDescent="0.3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S2124" s="31"/>
      <c r="T2124" s="31"/>
    </row>
    <row r="2125" spans="1:20" s="14" customFormat="1" x14ac:dyDescent="0.3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S2125" s="31"/>
      <c r="T2125" s="31"/>
    </row>
    <row r="2126" spans="1:20" s="14" customFormat="1" x14ac:dyDescent="0.3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S2126" s="31"/>
      <c r="T2126" s="31"/>
    </row>
    <row r="2127" spans="1:20" s="14" customFormat="1" x14ac:dyDescent="0.3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S2127" s="31"/>
      <c r="T2127" s="31"/>
    </row>
    <row r="2128" spans="1:20" s="14" customFormat="1" x14ac:dyDescent="0.3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S2128" s="31"/>
      <c r="T2128" s="31"/>
    </row>
    <row r="2129" spans="1:20" s="14" customFormat="1" x14ac:dyDescent="0.3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S2129" s="31"/>
      <c r="T2129" s="31"/>
    </row>
    <row r="2130" spans="1:20" s="14" customFormat="1" x14ac:dyDescent="0.3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S2130" s="31"/>
      <c r="T2130" s="31"/>
    </row>
    <row r="2131" spans="1:20" s="14" customFormat="1" x14ac:dyDescent="0.3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S2131" s="31"/>
      <c r="T2131" s="31"/>
    </row>
    <row r="2132" spans="1:20" s="14" customFormat="1" x14ac:dyDescent="0.3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S2132" s="31"/>
      <c r="T2132" s="31"/>
    </row>
    <row r="2133" spans="1:20" s="14" customFormat="1" x14ac:dyDescent="0.3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S2133" s="31"/>
      <c r="T2133" s="31"/>
    </row>
    <row r="2134" spans="1:20" s="14" customFormat="1" x14ac:dyDescent="0.3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S2134" s="31"/>
      <c r="T2134" s="31"/>
    </row>
    <row r="2135" spans="1:20" s="14" customFormat="1" x14ac:dyDescent="0.3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S2135" s="31"/>
      <c r="T2135" s="31"/>
    </row>
    <row r="2136" spans="1:20" s="14" customFormat="1" x14ac:dyDescent="0.3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S2136" s="31"/>
      <c r="T2136" s="31"/>
    </row>
    <row r="2137" spans="1:20" s="14" customFormat="1" x14ac:dyDescent="0.3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S2137" s="31"/>
      <c r="T2137" s="31"/>
    </row>
    <row r="2138" spans="1:20" s="14" customFormat="1" x14ac:dyDescent="0.3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S2138" s="31"/>
      <c r="T2138" s="31"/>
    </row>
    <row r="2139" spans="1:20" s="14" customFormat="1" x14ac:dyDescent="0.3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S2139" s="31"/>
      <c r="T2139" s="31"/>
    </row>
    <row r="2140" spans="1:20" s="14" customFormat="1" x14ac:dyDescent="0.3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S2140" s="31"/>
      <c r="T2140" s="31"/>
    </row>
    <row r="2141" spans="1:20" s="14" customFormat="1" x14ac:dyDescent="0.3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S2141" s="31"/>
      <c r="T2141" s="31"/>
    </row>
    <row r="2142" spans="1:20" s="14" customFormat="1" x14ac:dyDescent="0.3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S2142" s="31"/>
      <c r="T2142" s="31"/>
    </row>
    <row r="2143" spans="1:20" s="14" customFormat="1" x14ac:dyDescent="0.3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S2143" s="31"/>
      <c r="T2143" s="31"/>
    </row>
    <row r="2144" spans="1:20" s="14" customFormat="1" x14ac:dyDescent="0.3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S2144" s="31"/>
      <c r="T2144" s="31"/>
    </row>
    <row r="2145" spans="1:20" s="14" customFormat="1" x14ac:dyDescent="0.3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S2145" s="31"/>
      <c r="T2145" s="31"/>
    </row>
    <row r="2146" spans="1:20" s="14" customFormat="1" x14ac:dyDescent="0.3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S2146" s="31"/>
      <c r="T2146" s="31"/>
    </row>
    <row r="2147" spans="1:20" s="14" customFormat="1" x14ac:dyDescent="0.3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S2147" s="31"/>
      <c r="T2147" s="31"/>
    </row>
    <row r="2148" spans="1:20" s="14" customFormat="1" x14ac:dyDescent="0.3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S2148" s="31"/>
      <c r="T2148" s="31"/>
    </row>
    <row r="2149" spans="1:20" s="14" customFormat="1" x14ac:dyDescent="0.3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S2149" s="31"/>
      <c r="T2149" s="31"/>
    </row>
    <row r="2150" spans="1:20" s="14" customFormat="1" x14ac:dyDescent="0.3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S2150" s="31"/>
      <c r="T2150" s="31"/>
    </row>
    <row r="2151" spans="1:20" s="14" customFormat="1" x14ac:dyDescent="0.3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S2151" s="31"/>
      <c r="T2151" s="31"/>
    </row>
    <row r="2152" spans="1:20" s="14" customFormat="1" x14ac:dyDescent="0.3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S2152" s="31"/>
      <c r="T2152" s="31"/>
    </row>
    <row r="2153" spans="1:20" s="14" customFormat="1" x14ac:dyDescent="0.3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S2153" s="31"/>
      <c r="T2153" s="31"/>
    </row>
    <row r="2154" spans="1:20" s="14" customFormat="1" x14ac:dyDescent="0.3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S2154" s="31"/>
      <c r="T2154" s="31"/>
    </row>
    <row r="2155" spans="1:20" s="14" customFormat="1" x14ac:dyDescent="0.3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S2155" s="31"/>
      <c r="T2155" s="31"/>
    </row>
    <row r="2156" spans="1:20" s="14" customFormat="1" x14ac:dyDescent="0.3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S2156" s="31"/>
      <c r="T2156" s="31"/>
    </row>
    <row r="2157" spans="1:20" s="14" customFormat="1" x14ac:dyDescent="0.3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S2157" s="31"/>
      <c r="T2157" s="31"/>
    </row>
    <row r="2158" spans="1:20" s="14" customFormat="1" x14ac:dyDescent="0.3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S2158" s="31"/>
      <c r="T2158" s="31"/>
    </row>
    <row r="2159" spans="1:20" s="14" customFormat="1" x14ac:dyDescent="0.3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S2159" s="31"/>
      <c r="T2159" s="31"/>
    </row>
    <row r="2160" spans="1:20" s="14" customFormat="1" x14ac:dyDescent="0.3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S2160" s="31"/>
      <c r="T2160" s="31"/>
    </row>
    <row r="2161" spans="1:20" s="14" customFormat="1" x14ac:dyDescent="0.3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S2161" s="31"/>
      <c r="T2161" s="31"/>
    </row>
    <row r="2162" spans="1:20" s="14" customFormat="1" x14ac:dyDescent="0.3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S2162" s="31"/>
      <c r="T2162" s="31"/>
    </row>
    <row r="2163" spans="1:20" s="14" customFormat="1" x14ac:dyDescent="0.3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S2163" s="31"/>
      <c r="T2163" s="31"/>
    </row>
    <row r="2164" spans="1:20" s="14" customFormat="1" x14ac:dyDescent="0.3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S2164" s="31"/>
      <c r="T2164" s="31"/>
    </row>
    <row r="2165" spans="1:20" s="14" customFormat="1" x14ac:dyDescent="0.3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S2165" s="31"/>
      <c r="T2165" s="31"/>
    </row>
    <row r="2166" spans="1:20" s="14" customFormat="1" x14ac:dyDescent="0.3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S2166" s="31"/>
      <c r="T2166" s="31"/>
    </row>
    <row r="2167" spans="1:20" s="14" customFormat="1" x14ac:dyDescent="0.3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S2167" s="31"/>
      <c r="T2167" s="31"/>
    </row>
    <row r="2168" spans="1:20" s="14" customFormat="1" x14ac:dyDescent="0.3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S2168" s="31"/>
      <c r="T2168" s="31"/>
    </row>
    <row r="2169" spans="1:20" s="14" customFormat="1" x14ac:dyDescent="0.3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S2169" s="31"/>
      <c r="T2169" s="31"/>
    </row>
    <row r="2170" spans="1:20" s="14" customFormat="1" x14ac:dyDescent="0.3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S2170" s="31"/>
      <c r="T2170" s="31"/>
    </row>
    <row r="2171" spans="1:20" s="14" customFormat="1" x14ac:dyDescent="0.3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S2171" s="31"/>
      <c r="T2171" s="31"/>
    </row>
    <row r="2172" spans="1:20" s="14" customFormat="1" x14ac:dyDescent="0.3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S2172" s="31"/>
      <c r="T2172" s="31"/>
    </row>
    <row r="2173" spans="1:20" s="14" customFormat="1" x14ac:dyDescent="0.3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S2173" s="31"/>
      <c r="T2173" s="31"/>
    </row>
    <row r="2174" spans="1:20" s="14" customFormat="1" x14ac:dyDescent="0.3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S2174" s="31"/>
      <c r="T2174" s="31"/>
    </row>
    <row r="2175" spans="1:20" s="14" customFormat="1" x14ac:dyDescent="0.3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S2175" s="31"/>
      <c r="T2175" s="31"/>
    </row>
    <row r="2176" spans="1:20" s="14" customFormat="1" x14ac:dyDescent="0.3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S2176" s="31"/>
      <c r="T2176" s="31"/>
    </row>
    <row r="2177" spans="1:20" s="14" customFormat="1" x14ac:dyDescent="0.3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S2177" s="31"/>
      <c r="T2177" s="31"/>
    </row>
    <row r="2178" spans="1:20" s="14" customFormat="1" x14ac:dyDescent="0.3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S2178" s="31"/>
      <c r="T2178" s="31"/>
    </row>
    <row r="2179" spans="1:20" s="14" customFormat="1" x14ac:dyDescent="0.3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S2179" s="31"/>
      <c r="T2179" s="31"/>
    </row>
    <row r="2180" spans="1:20" s="14" customFormat="1" x14ac:dyDescent="0.3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S2180" s="31"/>
      <c r="T2180" s="31"/>
    </row>
    <row r="2181" spans="1:20" s="14" customFormat="1" x14ac:dyDescent="0.3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S2181" s="31"/>
      <c r="T2181" s="31"/>
    </row>
    <row r="2182" spans="1:20" s="14" customFormat="1" x14ac:dyDescent="0.3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S2182" s="31"/>
      <c r="T2182" s="31"/>
    </row>
    <row r="2183" spans="1:20" s="14" customFormat="1" x14ac:dyDescent="0.3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S2183" s="31"/>
      <c r="T2183" s="31"/>
    </row>
    <row r="2184" spans="1:20" s="14" customFormat="1" x14ac:dyDescent="0.3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S2184" s="31"/>
      <c r="T2184" s="31"/>
    </row>
    <row r="2185" spans="1:20" s="14" customFormat="1" x14ac:dyDescent="0.3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S2185" s="31"/>
      <c r="T2185" s="31"/>
    </row>
    <row r="2186" spans="1:20" s="14" customFormat="1" x14ac:dyDescent="0.3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S2186" s="31"/>
      <c r="T2186" s="31"/>
    </row>
    <row r="2187" spans="1:20" s="14" customFormat="1" x14ac:dyDescent="0.3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S2187" s="31"/>
      <c r="T2187" s="31"/>
    </row>
    <row r="2188" spans="1:20" s="14" customFormat="1" x14ac:dyDescent="0.3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S2188" s="31"/>
      <c r="T2188" s="31"/>
    </row>
    <row r="2189" spans="1:20" s="14" customFormat="1" x14ac:dyDescent="0.3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S2189" s="31"/>
      <c r="T2189" s="31"/>
    </row>
    <row r="2190" spans="1:20" s="14" customFormat="1" x14ac:dyDescent="0.3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S2190" s="31"/>
      <c r="T2190" s="31"/>
    </row>
    <row r="2191" spans="1:20" s="14" customFormat="1" x14ac:dyDescent="0.3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S2191" s="31"/>
      <c r="T2191" s="31"/>
    </row>
    <row r="2192" spans="1:20" s="14" customFormat="1" x14ac:dyDescent="0.3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S2192" s="31"/>
      <c r="T2192" s="31"/>
    </row>
    <row r="2193" spans="1:20" s="14" customFormat="1" x14ac:dyDescent="0.3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S2193" s="31"/>
      <c r="T2193" s="31"/>
    </row>
    <row r="2194" spans="1:20" s="14" customFormat="1" x14ac:dyDescent="0.3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S2194" s="31"/>
      <c r="T2194" s="31"/>
    </row>
    <row r="2195" spans="1:20" s="14" customFormat="1" x14ac:dyDescent="0.3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S2195" s="31"/>
      <c r="T2195" s="31"/>
    </row>
    <row r="2196" spans="1:20" s="14" customFormat="1" x14ac:dyDescent="0.3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S2196" s="31"/>
      <c r="T2196" s="31"/>
    </row>
    <row r="2197" spans="1:20" s="14" customFormat="1" x14ac:dyDescent="0.3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S2197" s="31"/>
      <c r="T2197" s="31"/>
    </row>
    <row r="2198" spans="1:20" s="14" customFormat="1" x14ac:dyDescent="0.3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S2198" s="31"/>
      <c r="T2198" s="31"/>
    </row>
    <row r="2199" spans="1:20" s="14" customFormat="1" x14ac:dyDescent="0.3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S2199" s="31"/>
      <c r="T2199" s="31"/>
    </row>
    <row r="2200" spans="1:20" s="14" customFormat="1" x14ac:dyDescent="0.3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S2200" s="31"/>
      <c r="T2200" s="31"/>
    </row>
    <row r="2201" spans="1:20" s="14" customFormat="1" x14ac:dyDescent="0.3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S2201" s="31"/>
      <c r="T2201" s="31"/>
    </row>
    <row r="2202" spans="1:20" s="14" customFormat="1" x14ac:dyDescent="0.3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S2202" s="31"/>
      <c r="T2202" s="31"/>
    </row>
    <row r="2203" spans="1:20" s="14" customFormat="1" x14ac:dyDescent="0.3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S2203" s="31"/>
      <c r="T2203" s="31"/>
    </row>
    <row r="2204" spans="1:20" s="14" customFormat="1" x14ac:dyDescent="0.3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S2204" s="31"/>
      <c r="T2204" s="31"/>
    </row>
    <row r="2205" spans="1:20" s="14" customFormat="1" x14ac:dyDescent="0.3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S2205" s="31"/>
      <c r="T2205" s="31"/>
    </row>
    <row r="2206" spans="1:20" s="14" customFormat="1" x14ac:dyDescent="0.3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S2206" s="31"/>
      <c r="T2206" s="31"/>
    </row>
    <row r="2207" spans="1:20" s="14" customFormat="1" x14ac:dyDescent="0.3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S2207" s="31"/>
      <c r="T2207" s="31"/>
    </row>
    <row r="2208" spans="1:20" s="14" customFormat="1" x14ac:dyDescent="0.3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S2208" s="31"/>
      <c r="T2208" s="31"/>
    </row>
    <row r="2209" spans="1:20" s="14" customFormat="1" x14ac:dyDescent="0.3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S2209" s="31"/>
      <c r="T2209" s="31"/>
    </row>
    <row r="2210" spans="1:20" s="14" customFormat="1" x14ac:dyDescent="0.3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S2210" s="31"/>
      <c r="T2210" s="31"/>
    </row>
    <row r="2211" spans="1:20" s="14" customFormat="1" x14ac:dyDescent="0.3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S2211" s="31"/>
      <c r="T2211" s="31"/>
    </row>
    <row r="2212" spans="1:20" s="14" customFormat="1" x14ac:dyDescent="0.3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S2212" s="31"/>
      <c r="T2212" s="31"/>
    </row>
    <row r="2213" spans="1:20" s="14" customFormat="1" x14ac:dyDescent="0.3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S2213" s="31"/>
      <c r="T2213" s="31"/>
    </row>
    <row r="2214" spans="1:20" s="14" customFormat="1" x14ac:dyDescent="0.3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S2214" s="31"/>
      <c r="T2214" s="31"/>
    </row>
    <row r="2215" spans="1:20" s="14" customFormat="1" x14ac:dyDescent="0.3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S2215" s="31"/>
      <c r="T2215" s="31"/>
    </row>
    <row r="2216" spans="1:20" s="14" customFormat="1" x14ac:dyDescent="0.3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S2216" s="31"/>
      <c r="T2216" s="31"/>
    </row>
    <row r="2217" spans="1:20" s="14" customFormat="1" x14ac:dyDescent="0.3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S2217" s="31"/>
      <c r="T2217" s="31"/>
    </row>
    <row r="2218" spans="1:20" s="14" customFormat="1" x14ac:dyDescent="0.3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S2218" s="31"/>
      <c r="T2218" s="31"/>
    </row>
    <row r="2219" spans="1:20" s="14" customFormat="1" x14ac:dyDescent="0.3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S2219" s="31"/>
      <c r="T2219" s="31"/>
    </row>
    <row r="2220" spans="1:20" s="14" customFormat="1" x14ac:dyDescent="0.3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S2220" s="31"/>
      <c r="T2220" s="31"/>
    </row>
    <row r="2221" spans="1:20" s="14" customFormat="1" x14ac:dyDescent="0.3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S2221" s="31"/>
      <c r="T2221" s="31"/>
    </row>
    <row r="2222" spans="1:20" s="14" customFormat="1" x14ac:dyDescent="0.3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S2222" s="31"/>
      <c r="T2222" s="31"/>
    </row>
    <row r="2223" spans="1:20" s="14" customFormat="1" x14ac:dyDescent="0.3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S2223" s="31"/>
      <c r="T2223" s="31"/>
    </row>
    <row r="2224" spans="1:20" s="14" customFormat="1" x14ac:dyDescent="0.3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S2224" s="31"/>
      <c r="T2224" s="31"/>
    </row>
    <row r="2225" spans="1:20" s="14" customFormat="1" x14ac:dyDescent="0.3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S2225" s="31"/>
      <c r="T2225" s="31"/>
    </row>
    <row r="2226" spans="1:20" s="14" customFormat="1" x14ac:dyDescent="0.3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S2226" s="31"/>
      <c r="T2226" s="31"/>
    </row>
    <row r="2227" spans="1:20" s="14" customFormat="1" x14ac:dyDescent="0.3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S2227" s="31"/>
      <c r="T2227" s="31"/>
    </row>
    <row r="2228" spans="1:20" s="14" customFormat="1" x14ac:dyDescent="0.3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S2228" s="31"/>
      <c r="T2228" s="31"/>
    </row>
    <row r="2229" spans="1:20" s="14" customFormat="1" x14ac:dyDescent="0.3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S2229" s="31"/>
      <c r="T2229" s="31"/>
    </row>
    <row r="2230" spans="1:20" s="14" customFormat="1" x14ac:dyDescent="0.3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S2230" s="31"/>
      <c r="T2230" s="31"/>
    </row>
    <row r="2231" spans="1:20" s="14" customFormat="1" x14ac:dyDescent="0.3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S2231" s="31"/>
      <c r="T2231" s="31"/>
    </row>
    <row r="2232" spans="1:20" s="14" customFormat="1" x14ac:dyDescent="0.3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S2232" s="31"/>
      <c r="T2232" s="31"/>
    </row>
    <row r="2233" spans="1:20" s="14" customFormat="1" x14ac:dyDescent="0.3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S2233" s="31"/>
      <c r="T2233" s="31"/>
    </row>
    <row r="2234" spans="1:20" s="14" customFormat="1" x14ac:dyDescent="0.3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S2234" s="31"/>
      <c r="T2234" s="31"/>
    </row>
    <row r="2235" spans="1:20" s="14" customFormat="1" x14ac:dyDescent="0.3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S2235" s="31"/>
      <c r="T2235" s="31"/>
    </row>
    <row r="2236" spans="1:20" s="14" customFormat="1" x14ac:dyDescent="0.3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S2236" s="31"/>
      <c r="T2236" s="31"/>
    </row>
    <row r="2237" spans="1:20" s="14" customFormat="1" x14ac:dyDescent="0.3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S2237" s="31"/>
      <c r="T2237" s="31"/>
    </row>
    <row r="2238" spans="1:20" s="14" customFormat="1" x14ac:dyDescent="0.3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S2238" s="31"/>
      <c r="T2238" s="31"/>
    </row>
    <row r="2239" spans="1:20" s="14" customFormat="1" x14ac:dyDescent="0.3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S2239" s="31"/>
      <c r="T2239" s="31"/>
    </row>
    <row r="2240" spans="1:20" s="14" customFormat="1" x14ac:dyDescent="0.3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S2240" s="31"/>
      <c r="T2240" s="31"/>
    </row>
    <row r="2241" spans="1:20" s="14" customFormat="1" x14ac:dyDescent="0.3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S2241" s="31"/>
      <c r="T2241" s="31"/>
    </row>
    <row r="2242" spans="1:20" s="14" customFormat="1" x14ac:dyDescent="0.3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S2242" s="31"/>
      <c r="T2242" s="31"/>
    </row>
    <row r="2243" spans="1:20" s="14" customFormat="1" x14ac:dyDescent="0.3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S2243" s="31"/>
      <c r="T2243" s="31"/>
    </row>
    <row r="2244" spans="1:20" s="14" customFormat="1" x14ac:dyDescent="0.3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S2244" s="31"/>
      <c r="T2244" s="31"/>
    </row>
    <row r="2245" spans="1:20" s="14" customFormat="1" x14ac:dyDescent="0.3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S2245" s="31"/>
      <c r="T2245" s="31"/>
    </row>
    <row r="2246" spans="1:20" s="14" customFormat="1" x14ac:dyDescent="0.3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S2246" s="31"/>
      <c r="T2246" s="31"/>
    </row>
    <row r="2247" spans="1:20" s="14" customFormat="1" x14ac:dyDescent="0.3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S2247" s="31"/>
      <c r="T2247" s="31"/>
    </row>
    <row r="2248" spans="1:20" s="14" customFormat="1" x14ac:dyDescent="0.3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S2248" s="31"/>
      <c r="T2248" s="31"/>
    </row>
    <row r="2249" spans="1:20" s="14" customFormat="1" x14ac:dyDescent="0.3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S2249" s="31"/>
      <c r="T2249" s="31"/>
    </row>
    <row r="2250" spans="1:20" s="14" customFormat="1" x14ac:dyDescent="0.3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S2250" s="31"/>
      <c r="T2250" s="31"/>
    </row>
    <row r="2251" spans="1:20" s="14" customFormat="1" x14ac:dyDescent="0.3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S2251" s="31"/>
      <c r="T2251" s="31"/>
    </row>
    <row r="2252" spans="1:20" s="14" customFormat="1" x14ac:dyDescent="0.3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S2252" s="31"/>
      <c r="T2252" s="31"/>
    </row>
    <row r="2253" spans="1:20" s="14" customFormat="1" x14ac:dyDescent="0.3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S2253" s="31"/>
      <c r="T2253" s="31"/>
    </row>
    <row r="2254" spans="1:20" s="14" customFormat="1" x14ac:dyDescent="0.3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S2254" s="31"/>
      <c r="T2254" s="31"/>
    </row>
    <row r="2255" spans="1:20" s="14" customFormat="1" x14ac:dyDescent="0.3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S2255" s="31"/>
      <c r="T2255" s="31"/>
    </row>
    <row r="2256" spans="1:20" s="14" customFormat="1" x14ac:dyDescent="0.3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S2256" s="31"/>
      <c r="T2256" s="31"/>
    </row>
    <row r="2257" spans="1:20" s="14" customFormat="1" x14ac:dyDescent="0.3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S2257" s="31"/>
      <c r="T2257" s="31"/>
    </row>
    <row r="2258" spans="1:20" s="14" customFormat="1" x14ac:dyDescent="0.3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S2258" s="31"/>
      <c r="T2258" s="31"/>
    </row>
    <row r="2259" spans="1:20" s="14" customFormat="1" x14ac:dyDescent="0.3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S2259" s="31"/>
      <c r="T2259" s="31"/>
    </row>
    <row r="2260" spans="1:20" s="14" customFormat="1" x14ac:dyDescent="0.3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S2260" s="31"/>
      <c r="T2260" s="31"/>
    </row>
    <row r="2261" spans="1:20" s="14" customFormat="1" x14ac:dyDescent="0.3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S2261" s="31"/>
      <c r="T2261" s="31"/>
    </row>
    <row r="2262" spans="1:20" s="14" customFormat="1" x14ac:dyDescent="0.3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S2262" s="31"/>
      <c r="T2262" s="31"/>
    </row>
    <row r="2263" spans="1:20" s="14" customFormat="1" x14ac:dyDescent="0.3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S2263" s="31"/>
      <c r="T2263" s="31"/>
    </row>
    <row r="2264" spans="1:20" s="14" customFormat="1" x14ac:dyDescent="0.3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S2264" s="31"/>
      <c r="T2264" s="31"/>
    </row>
    <row r="2265" spans="1:20" s="14" customFormat="1" x14ac:dyDescent="0.3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S2265" s="31"/>
      <c r="T2265" s="31"/>
    </row>
    <row r="2266" spans="1:20" s="14" customFormat="1" x14ac:dyDescent="0.3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S2266" s="31"/>
      <c r="T2266" s="31"/>
    </row>
    <row r="2267" spans="1:20" s="14" customFormat="1" x14ac:dyDescent="0.3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S2267" s="31"/>
      <c r="T2267" s="31"/>
    </row>
    <row r="2268" spans="1:20" s="14" customFormat="1" x14ac:dyDescent="0.3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S2268" s="31"/>
      <c r="T2268" s="31"/>
    </row>
    <row r="2269" spans="1:20" s="14" customFormat="1" x14ac:dyDescent="0.3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S2269" s="31"/>
      <c r="T2269" s="31"/>
    </row>
    <row r="2270" spans="1:20" s="14" customFormat="1" x14ac:dyDescent="0.3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S2270" s="31"/>
      <c r="T2270" s="31"/>
    </row>
    <row r="2271" spans="1:20" s="14" customFormat="1" x14ac:dyDescent="0.3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S2271" s="31"/>
      <c r="T2271" s="31"/>
    </row>
    <row r="2272" spans="1:20" s="14" customFormat="1" x14ac:dyDescent="0.3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S2272" s="31"/>
      <c r="T2272" s="31"/>
    </row>
    <row r="2273" spans="1:20" s="14" customFormat="1" x14ac:dyDescent="0.3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S2273" s="31"/>
      <c r="T2273" s="31"/>
    </row>
    <row r="2274" spans="1:20" s="14" customFormat="1" x14ac:dyDescent="0.3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S2274" s="31"/>
      <c r="T2274" s="31"/>
    </row>
    <row r="2275" spans="1:20" s="14" customFormat="1" x14ac:dyDescent="0.3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S2275" s="31"/>
      <c r="T2275" s="31"/>
    </row>
    <row r="2276" spans="1:20" s="14" customFormat="1" x14ac:dyDescent="0.3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S2276" s="31"/>
      <c r="T2276" s="31"/>
    </row>
    <row r="2277" spans="1:20" s="14" customFormat="1" x14ac:dyDescent="0.3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S2277" s="31"/>
      <c r="T2277" s="31"/>
    </row>
    <row r="2278" spans="1:20" s="14" customFormat="1" x14ac:dyDescent="0.3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S2278" s="31"/>
      <c r="T2278" s="31"/>
    </row>
    <row r="2279" spans="1:20" s="14" customFormat="1" x14ac:dyDescent="0.3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S2279" s="31"/>
      <c r="T2279" s="31"/>
    </row>
    <row r="2280" spans="1:20" s="14" customFormat="1" x14ac:dyDescent="0.3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S2280" s="31"/>
      <c r="T2280" s="31"/>
    </row>
    <row r="2281" spans="1:20" s="14" customFormat="1" x14ac:dyDescent="0.3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S2281" s="31"/>
      <c r="T2281" s="31"/>
    </row>
    <row r="2282" spans="1:20" s="14" customFormat="1" x14ac:dyDescent="0.3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S2282" s="31"/>
      <c r="T2282" s="31"/>
    </row>
    <row r="2283" spans="1:20" s="14" customFormat="1" x14ac:dyDescent="0.3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S2283" s="31"/>
      <c r="T2283" s="31"/>
    </row>
    <row r="2284" spans="1:20" s="14" customFormat="1" x14ac:dyDescent="0.3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S2284" s="31"/>
      <c r="T2284" s="31"/>
    </row>
    <row r="2285" spans="1:20" s="14" customFormat="1" x14ac:dyDescent="0.3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S2285" s="31"/>
      <c r="T2285" s="31"/>
    </row>
    <row r="2286" spans="1:20" s="14" customFormat="1" x14ac:dyDescent="0.3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S2286" s="31"/>
      <c r="T2286" s="31"/>
    </row>
    <row r="2287" spans="1:20" s="14" customFormat="1" x14ac:dyDescent="0.3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S2287" s="31"/>
      <c r="T2287" s="31"/>
    </row>
    <row r="2288" spans="1:20" s="14" customFormat="1" x14ac:dyDescent="0.3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S2288" s="31"/>
      <c r="T2288" s="31"/>
    </row>
    <row r="2289" spans="1:20" s="14" customFormat="1" x14ac:dyDescent="0.3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S2289" s="31"/>
      <c r="T2289" s="31"/>
    </row>
    <row r="2290" spans="1:20" s="14" customFormat="1" x14ac:dyDescent="0.3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S2290" s="31"/>
      <c r="T2290" s="31"/>
    </row>
    <row r="2291" spans="1:20" s="14" customFormat="1" x14ac:dyDescent="0.3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S2291" s="31"/>
      <c r="T2291" s="31"/>
    </row>
    <row r="2292" spans="1:20" s="14" customFormat="1" x14ac:dyDescent="0.3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S2292" s="31"/>
      <c r="T2292" s="31"/>
    </row>
    <row r="2293" spans="1:20" s="14" customFormat="1" x14ac:dyDescent="0.3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S2293" s="31"/>
      <c r="T2293" s="31"/>
    </row>
    <row r="2294" spans="1:20" s="14" customFormat="1" x14ac:dyDescent="0.3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S2294" s="31"/>
      <c r="T2294" s="31"/>
    </row>
    <row r="2295" spans="1:20" s="14" customFormat="1" x14ac:dyDescent="0.3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S2295" s="31"/>
      <c r="T2295" s="31"/>
    </row>
    <row r="2296" spans="1:20" s="14" customFormat="1" x14ac:dyDescent="0.3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S2296" s="31"/>
      <c r="T2296" s="31"/>
    </row>
    <row r="2297" spans="1:20" s="14" customFormat="1" x14ac:dyDescent="0.3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S2297" s="31"/>
      <c r="T2297" s="31"/>
    </row>
    <row r="2298" spans="1:20" s="14" customFormat="1" x14ac:dyDescent="0.3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S2298" s="31"/>
      <c r="T2298" s="31"/>
    </row>
    <row r="2299" spans="1:20" s="14" customFormat="1" x14ac:dyDescent="0.3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S2299" s="31"/>
      <c r="T2299" s="31"/>
    </row>
    <row r="2300" spans="1:20" s="14" customFormat="1" x14ac:dyDescent="0.3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S2300" s="31"/>
      <c r="T2300" s="31"/>
    </row>
    <row r="2301" spans="1:20" s="14" customFormat="1" x14ac:dyDescent="0.3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S2301" s="31"/>
      <c r="T2301" s="31"/>
    </row>
    <row r="2302" spans="1:20" s="14" customFormat="1" x14ac:dyDescent="0.3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S2302" s="31"/>
      <c r="T2302" s="31"/>
    </row>
    <row r="2303" spans="1:20" s="14" customFormat="1" x14ac:dyDescent="0.3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S2303" s="31"/>
      <c r="T2303" s="31"/>
    </row>
    <row r="2304" spans="1:20" s="14" customFormat="1" x14ac:dyDescent="0.3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S2304" s="31"/>
      <c r="T2304" s="31"/>
    </row>
    <row r="2305" spans="1:20" s="14" customFormat="1" x14ac:dyDescent="0.3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S2305" s="31"/>
      <c r="T2305" s="31"/>
    </row>
    <row r="2306" spans="1:20" s="14" customFormat="1" x14ac:dyDescent="0.3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S2306" s="31"/>
      <c r="T2306" s="31"/>
    </row>
    <row r="2307" spans="1:20" s="14" customFormat="1" x14ac:dyDescent="0.3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S2307" s="31"/>
      <c r="T2307" s="31"/>
    </row>
    <row r="2308" spans="1:20" s="14" customFormat="1" x14ac:dyDescent="0.3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S2308" s="31"/>
      <c r="T2308" s="31"/>
    </row>
    <row r="2309" spans="1:20" s="14" customFormat="1" x14ac:dyDescent="0.3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S2309" s="31"/>
      <c r="T2309" s="31"/>
    </row>
    <row r="2310" spans="1:20" s="14" customFormat="1" x14ac:dyDescent="0.3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S2310" s="31"/>
      <c r="T2310" s="31"/>
    </row>
    <row r="2311" spans="1:20" s="14" customFormat="1" x14ac:dyDescent="0.3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S2311" s="31"/>
      <c r="T2311" s="31"/>
    </row>
    <row r="2312" spans="1:20" s="14" customFormat="1" x14ac:dyDescent="0.3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S2312" s="31"/>
      <c r="T2312" s="31"/>
    </row>
    <row r="2313" spans="1:20" s="14" customFormat="1" x14ac:dyDescent="0.3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S2313" s="31"/>
      <c r="T2313" s="31"/>
    </row>
    <row r="2314" spans="1:20" s="14" customFormat="1" x14ac:dyDescent="0.3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S2314" s="31"/>
      <c r="T2314" s="31"/>
    </row>
    <row r="2315" spans="1:20" s="14" customFormat="1" x14ac:dyDescent="0.3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S2315" s="31"/>
      <c r="T2315" s="31"/>
    </row>
    <row r="2316" spans="1:20" s="14" customFormat="1" x14ac:dyDescent="0.3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S2316" s="31"/>
      <c r="T2316" s="31"/>
    </row>
    <row r="2317" spans="1:20" s="14" customFormat="1" x14ac:dyDescent="0.3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S2317" s="31"/>
      <c r="T2317" s="31"/>
    </row>
    <row r="2318" spans="1:20" s="14" customFormat="1" x14ac:dyDescent="0.3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S2318" s="31"/>
      <c r="T2318" s="31"/>
    </row>
    <row r="2319" spans="1:20" s="14" customFormat="1" x14ac:dyDescent="0.3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S2319" s="31"/>
      <c r="T2319" s="31"/>
    </row>
    <row r="2320" spans="1:20" s="14" customFormat="1" x14ac:dyDescent="0.3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S2320" s="31"/>
      <c r="T2320" s="31"/>
    </row>
    <row r="2321" spans="1:20" s="14" customFormat="1" x14ac:dyDescent="0.3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S2321" s="31"/>
      <c r="T2321" s="31"/>
    </row>
    <row r="2322" spans="1:20" s="14" customFormat="1" x14ac:dyDescent="0.3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S2322" s="31"/>
      <c r="T2322" s="31"/>
    </row>
    <row r="2323" spans="1:20" s="14" customFormat="1" x14ac:dyDescent="0.3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S2323" s="31"/>
      <c r="T2323" s="31"/>
    </row>
    <row r="2324" spans="1:20" s="14" customFormat="1" x14ac:dyDescent="0.3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S2324" s="31"/>
      <c r="T2324" s="31"/>
    </row>
    <row r="2325" spans="1:20" s="14" customFormat="1" x14ac:dyDescent="0.3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S2325" s="31"/>
      <c r="T2325" s="31"/>
    </row>
    <row r="2326" spans="1:20" s="14" customFormat="1" x14ac:dyDescent="0.3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S2326" s="31"/>
      <c r="T2326" s="31"/>
    </row>
    <row r="2327" spans="1:20" s="14" customFormat="1" x14ac:dyDescent="0.3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S2327" s="31"/>
      <c r="T2327" s="31"/>
    </row>
    <row r="2328" spans="1:20" s="14" customFormat="1" x14ac:dyDescent="0.3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S2328" s="31"/>
      <c r="T2328" s="31"/>
    </row>
    <row r="2329" spans="1:20" s="14" customFormat="1" x14ac:dyDescent="0.3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S2329" s="31"/>
      <c r="T2329" s="31"/>
    </row>
    <row r="2330" spans="1:20" s="14" customFormat="1" x14ac:dyDescent="0.3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S2330" s="31"/>
      <c r="T2330" s="31"/>
    </row>
    <row r="2331" spans="1:20" s="14" customFormat="1" x14ac:dyDescent="0.3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S2331" s="31"/>
      <c r="T2331" s="31"/>
    </row>
    <row r="2332" spans="1:20" s="14" customFormat="1" x14ac:dyDescent="0.3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S2332" s="31"/>
      <c r="T2332" s="31"/>
    </row>
    <row r="2333" spans="1:20" s="14" customFormat="1" x14ac:dyDescent="0.3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S2333" s="31"/>
      <c r="T2333" s="31"/>
    </row>
    <row r="2334" spans="1:20" s="14" customFormat="1" x14ac:dyDescent="0.3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S2334" s="31"/>
      <c r="T2334" s="31"/>
    </row>
    <row r="2335" spans="1:20" s="14" customFormat="1" x14ac:dyDescent="0.3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S2335" s="31"/>
      <c r="T2335" s="31"/>
    </row>
    <row r="2336" spans="1:20" s="14" customFormat="1" x14ac:dyDescent="0.3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S2336" s="31"/>
      <c r="T2336" s="31"/>
    </row>
    <row r="2337" spans="1:20" s="14" customFormat="1" x14ac:dyDescent="0.3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S2337" s="31"/>
      <c r="T2337" s="31"/>
    </row>
    <row r="2338" spans="1:20" s="14" customFormat="1" x14ac:dyDescent="0.3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S2338" s="31"/>
      <c r="T2338" s="31"/>
    </row>
    <row r="2339" spans="1:20" s="14" customFormat="1" x14ac:dyDescent="0.3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S2339" s="31"/>
      <c r="T2339" s="31"/>
    </row>
    <row r="2340" spans="1:20" s="14" customFormat="1" x14ac:dyDescent="0.3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S2340" s="31"/>
      <c r="T2340" s="31"/>
    </row>
    <row r="2341" spans="1:20" s="14" customFormat="1" x14ac:dyDescent="0.3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S2341" s="31"/>
      <c r="T2341" s="31"/>
    </row>
    <row r="2342" spans="1:20" s="14" customFormat="1" x14ac:dyDescent="0.3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S2342" s="31"/>
      <c r="T2342" s="31"/>
    </row>
    <row r="2343" spans="1:20" s="14" customFormat="1" x14ac:dyDescent="0.3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S2343" s="31"/>
      <c r="T2343" s="31"/>
    </row>
    <row r="2344" spans="1:20" s="14" customFormat="1" x14ac:dyDescent="0.3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S2344" s="31"/>
      <c r="T2344" s="31"/>
    </row>
    <row r="2345" spans="1:20" s="14" customFormat="1" x14ac:dyDescent="0.3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S2345" s="31"/>
      <c r="T2345" s="31"/>
    </row>
    <row r="2346" spans="1:20" s="14" customFormat="1" x14ac:dyDescent="0.3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S2346" s="31"/>
      <c r="T2346" s="31"/>
    </row>
    <row r="2347" spans="1:20" s="14" customFormat="1" x14ac:dyDescent="0.3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S2347" s="31"/>
      <c r="T2347" s="31"/>
    </row>
    <row r="2348" spans="1:20" s="14" customFormat="1" x14ac:dyDescent="0.3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S2348" s="31"/>
      <c r="T2348" s="31"/>
    </row>
    <row r="2349" spans="1:20" s="14" customFormat="1" x14ac:dyDescent="0.3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S2349" s="31"/>
      <c r="T2349" s="31"/>
    </row>
    <row r="2350" spans="1:20" s="14" customFormat="1" x14ac:dyDescent="0.3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S2350" s="31"/>
      <c r="T2350" s="31"/>
    </row>
    <row r="2351" spans="1:20" s="14" customFormat="1" x14ac:dyDescent="0.3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S2351" s="31"/>
      <c r="T2351" s="31"/>
    </row>
    <row r="2352" spans="1:20" s="14" customFormat="1" x14ac:dyDescent="0.3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S2352" s="31"/>
      <c r="T2352" s="31"/>
    </row>
    <row r="2353" spans="1:20" s="14" customFormat="1" x14ac:dyDescent="0.3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S2353" s="31"/>
      <c r="T2353" s="31"/>
    </row>
    <row r="2354" spans="1:20" s="14" customFormat="1" x14ac:dyDescent="0.3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S2354" s="31"/>
      <c r="T2354" s="31"/>
    </row>
    <row r="2355" spans="1:20" s="14" customFormat="1" x14ac:dyDescent="0.3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S2355" s="31"/>
      <c r="T2355" s="31"/>
    </row>
    <row r="2356" spans="1:20" s="14" customFormat="1" x14ac:dyDescent="0.3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S2356" s="31"/>
      <c r="T2356" s="31"/>
    </row>
    <row r="2357" spans="1:20" s="14" customFormat="1" x14ac:dyDescent="0.3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S2357" s="31"/>
      <c r="T2357" s="31"/>
    </row>
    <row r="2358" spans="1:20" s="14" customFormat="1" x14ac:dyDescent="0.3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S2358" s="31"/>
      <c r="T2358" s="31"/>
    </row>
    <row r="2359" spans="1:20" s="14" customFormat="1" x14ac:dyDescent="0.3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S2359" s="31"/>
      <c r="T2359" s="31"/>
    </row>
    <row r="2360" spans="1:20" s="14" customFormat="1" x14ac:dyDescent="0.3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S2360" s="31"/>
      <c r="T2360" s="31"/>
    </row>
    <row r="2361" spans="1:20" s="14" customFormat="1" x14ac:dyDescent="0.3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S2361" s="31"/>
      <c r="T2361" s="31"/>
    </row>
    <row r="2362" spans="1:20" s="14" customFormat="1" x14ac:dyDescent="0.3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S2362" s="31"/>
      <c r="T2362" s="31"/>
    </row>
    <row r="2363" spans="1:20" s="14" customFormat="1" x14ac:dyDescent="0.3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S2363" s="31"/>
      <c r="T2363" s="31"/>
    </row>
    <row r="2364" spans="1:20" s="14" customFormat="1" x14ac:dyDescent="0.3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S2364" s="31"/>
      <c r="T2364" s="31"/>
    </row>
    <row r="2365" spans="1:20" s="14" customFormat="1" x14ac:dyDescent="0.3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S2365" s="31"/>
      <c r="T2365" s="31"/>
    </row>
    <row r="2366" spans="1:20" s="14" customFormat="1" x14ac:dyDescent="0.3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S2366" s="31"/>
      <c r="T2366" s="31"/>
    </row>
    <row r="2367" spans="1:20" s="14" customFormat="1" x14ac:dyDescent="0.3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S2367" s="31"/>
      <c r="T2367" s="31"/>
    </row>
    <row r="2368" spans="1:20" s="14" customFormat="1" x14ac:dyDescent="0.3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S2368" s="31"/>
      <c r="T2368" s="31"/>
    </row>
    <row r="2369" spans="1:20" s="14" customFormat="1" x14ac:dyDescent="0.3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S2369" s="31"/>
      <c r="T2369" s="31"/>
    </row>
    <row r="2370" spans="1:20" s="14" customFormat="1" x14ac:dyDescent="0.3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S2370" s="31"/>
      <c r="T2370" s="31"/>
    </row>
    <row r="2371" spans="1:20" s="14" customFormat="1" x14ac:dyDescent="0.3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S2371" s="31"/>
      <c r="T2371" s="31"/>
    </row>
    <row r="2372" spans="1:20" s="14" customFormat="1" x14ac:dyDescent="0.3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S2372" s="31"/>
      <c r="T2372" s="31"/>
    </row>
    <row r="2373" spans="1:20" s="14" customFormat="1" x14ac:dyDescent="0.3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S2373" s="31"/>
      <c r="T2373" s="31"/>
    </row>
    <row r="2374" spans="1:20" s="14" customFormat="1" x14ac:dyDescent="0.3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S2374" s="31"/>
      <c r="T2374" s="31"/>
    </row>
    <row r="2375" spans="1:20" s="14" customFormat="1" x14ac:dyDescent="0.3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S2375" s="31"/>
      <c r="T2375" s="31"/>
    </row>
    <row r="2376" spans="1:20" s="14" customFormat="1" x14ac:dyDescent="0.3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S2376" s="31"/>
      <c r="T2376" s="31"/>
    </row>
    <row r="2377" spans="1:20" s="14" customFormat="1" x14ac:dyDescent="0.3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S2377" s="31"/>
      <c r="T2377" s="31"/>
    </row>
    <row r="2378" spans="1:20" s="14" customFormat="1" x14ac:dyDescent="0.3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S2378" s="31"/>
      <c r="T2378" s="31"/>
    </row>
    <row r="2379" spans="1:20" s="14" customFormat="1" x14ac:dyDescent="0.3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S2379" s="31"/>
      <c r="T2379" s="31"/>
    </row>
    <row r="2380" spans="1:20" s="14" customFormat="1" x14ac:dyDescent="0.3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S2380" s="31"/>
      <c r="T2380" s="31"/>
    </row>
    <row r="2381" spans="1:20" s="14" customFormat="1" x14ac:dyDescent="0.3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S2381" s="31"/>
      <c r="T2381" s="31"/>
    </row>
    <row r="2382" spans="1:20" s="14" customFormat="1" x14ac:dyDescent="0.3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S2382" s="31"/>
      <c r="T2382" s="31"/>
    </row>
    <row r="2383" spans="1:20" s="14" customFormat="1" x14ac:dyDescent="0.3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S2383" s="31"/>
      <c r="T2383" s="31"/>
    </row>
    <row r="2384" spans="1:20" s="14" customFormat="1" x14ac:dyDescent="0.3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S2384" s="31"/>
      <c r="T2384" s="31"/>
    </row>
    <row r="2385" spans="1:20" s="14" customFormat="1" x14ac:dyDescent="0.3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S2385" s="31"/>
      <c r="T2385" s="31"/>
    </row>
    <row r="2386" spans="1:20" s="14" customFormat="1" x14ac:dyDescent="0.3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S2386" s="31"/>
      <c r="T2386" s="31"/>
    </row>
    <row r="2387" spans="1:20" s="14" customFormat="1" x14ac:dyDescent="0.3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S2387" s="31"/>
      <c r="T2387" s="31"/>
    </row>
    <row r="2388" spans="1:20" s="14" customFormat="1" x14ac:dyDescent="0.3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S2388" s="31"/>
      <c r="T2388" s="31"/>
    </row>
    <row r="2389" spans="1:20" s="14" customFormat="1" x14ac:dyDescent="0.3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S2389" s="31"/>
      <c r="T2389" s="31"/>
    </row>
    <row r="2390" spans="1:20" s="14" customFormat="1" x14ac:dyDescent="0.3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S2390" s="31"/>
      <c r="T2390" s="31"/>
    </row>
    <row r="2391" spans="1:20" s="14" customFormat="1" x14ac:dyDescent="0.3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S2391" s="31"/>
      <c r="T2391" s="31"/>
    </row>
    <row r="2392" spans="1:20" s="14" customFormat="1" x14ac:dyDescent="0.3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S2392" s="31"/>
      <c r="T2392" s="31"/>
    </row>
    <row r="2393" spans="1:20" s="14" customFormat="1" x14ac:dyDescent="0.3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S2393" s="31"/>
      <c r="T2393" s="31"/>
    </row>
    <row r="2394" spans="1:20" s="14" customFormat="1" x14ac:dyDescent="0.3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S2394" s="31"/>
      <c r="T2394" s="31"/>
    </row>
    <row r="2395" spans="1:20" s="14" customFormat="1" x14ac:dyDescent="0.3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S2395" s="31"/>
      <c r="T2395" s="31"/>
    </row>
    <row r="2396" spans="1:20" s="14" customFormat="1" x14ac:dyDescent="0.3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S2396" s="31"/>
      <c r="T2396" s="31"/>
    </row>
    <row r="2397" spans="1:20" s="14" customFormat="1" x14ac:dyDescent="0.3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S2397" s="31"/>
      <c r="T2397" s="31"/>
    </row>
    <row r="2398" spans="1:20" s="14" customFormat="1" x14ac:dyDescent="0.3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S2398" s="31"/>
      <c r="T2398" s="31"/>
    </row>
    <row r="2399" spans="1:20" s="14" customFormat="1" x14ac:dyDescent="0.3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S2399" s="31"/>
      <c r="T2399" s="31"/>
    </row>
    <row r="2400" spans="1:20" s="14" customFormat="1" x14ac:dyDescent="0.3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S2400" s="31"/>
      <c r="T2400" s="31"/>
    </row>
    <row r="2401" spans="1:20" s="14" customFormat="1" x14ac:dyDescent="0.3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S2401" s="31"/>
      <c r="T2401" s="31"/>
    </row>
    <row r="2402" spans="1:20" s="14" customFormat="1" x14ac:dyDescent="0.3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S2402" s="31"/>
      <c r="T2402" s="31"/>
    </row>
    <row r="2403" spans="1:20" s="14" customFormat="1" x14ac:dyDescent="0.3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S2403" s="31"/>
      <c r="T2403" s="31"/>
    </row>
    <row r="2404" spans="1:20" s="14" customFormat="1" x14ac:dyDescent="0.3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S2404" s="31"/>
      <c r="T2404" s="31"/>
    </row>
    <row r="2405" spans="1:20" s="14" customFormat="1" x14ac:dyDescent="0.3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S2405" s="31"/>
      <c r="T2405" s="31"/>
    </row>
    <row r="2406" spans="1:20" s="14" customFormat="1" x14ac:dyDescent="0.3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S2406" s="31"/>
      <c r="T2406" s="31"/>
    </row>
    <row r="2407" spans="1:20" s="14" customFormat="1" x14ac:dyDescent="0.3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S2407" s="31"/>
      <c r="T2407" s="31"/>
    </row>
    <row r="2408" spans="1:20" s="14" customFormat="1" x14ac:dyDescent="0.3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S2408" s="31"/>
      <c r="T2408" s="31"/>
    </row>
    <row r="2409" spans="1:20" s="14" customFormat="1" x14ac:dyDescent="0.3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S2409" s="31"/>
      <c r="T2409" s="31"/>
    </row>
    <row r="2410" spans="1:20" s="14" customFormat="1" x14ac:dyDescent="0.3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S2410" s="31"/>
      <c r="T2410" s="31"/>
    </row>
    <row r="2411" spans="1:20" s="14" customFormat="1" x14ac:dyDescent="0.3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S2411" s="31"/>
      <c r="T2411" s="31"/>
    </row>
    <row r="2412" spans="1:20" s="14" customFormat="1" x14ac:dyDescent="0.3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S2412" s="31"/>
      <c r="T2412" s="31"/>
    </row>
    <row r="2413" spans="1:20" s="14" customFormat="1" x14ac:dyDescent="0.3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S2413" s="31"/>
      <c r="T2413" s="31"/>
    </row>
    <row r="2414" spans="1:20" s="14" customFormat="1" x14ac:dyDescent="0.3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S2414" s="31"/>
      <c r="T2414" s="31"/>
    </row>
    <row r="2415" spans="1:20" s="14" customFormat="1" x14ac:dyDescent="0.3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S2415" s="31"/>
      <c r="T2415" s="31"/>
    </row>
    <row r="2416" spans="1:20" s="14" customFormat="1" x14ac:dyDescent="0.3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S2416" s="31"/>
      <c r="T2416" s="31"/>
    </row>
    <row r="2417" spans="1:20" s="14" customFormat="1" x14ac:dyDescent="0.3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S2417" s="31"/>
      <c r="T2417" s="31"/>
    </row>
    <row r="2418" spans="1:20" s="14" customFormat="1" x14ac:dyDescent="0.3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S2418" s="31"/>
      <c r="T2418" s="31"/>
    </row>
    <row r="2419" spans="1:20" s="14" customFormat="1" x14ac:dyDescent="0.3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S2419" s="31"/>
      <c r="T2419" s="31"/>
    </row>
    <row r="2420" spans="1:20" s="14" customFormat="1" x14ac:dyDescent="0.3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S2420" s="31"/>
      <c r="T2420" s="31"/>
    </row>
    <row r="2421" spans="1:20" s="14" customFormat="1" x14ac:dyDescent="0.3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S2421" s="31"/>
      <c r="T2421" s="31"/>
    </row>
    <row r="2422" spans="1:20" s="14" customFormat="1" x14ac:dyDescent="0.3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S2422" s="31"/>
      <c r="T2422" s="31"/>
    </row>
    <row r="2423" spans="1:20" s="14" customFormat="1" x14ac:dyDescent="0.3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S2423" s="31"/>
      <c r="T2423" s="31"/>
    </row>
    <row r="2424" spans="1:20" s="14" customFormat="1" x14ac:dyDescent="0.3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S2424" s="31"/>
      <c r="T2424" s="31"/>
    </row>
    <row r="2425" spans="1:20" s="14" customFormat="1" x14ac:dyDescent="0.3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S2425" s="31"/>
      <c r="T2425" s="31"/>
    </row>
    <row r="2426" spans="1:20" s="14" customFormat="1" x14ac:dyDescent="0.3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S2426" s="31"/>
      <c r="T2426" s="31"/>
    </row>
    <row r="2427" spans="1:20" s="14" customFormat="1" x14ac:dyDescent="0.3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S2427" s="31"/>
      <c r="T2427" s="31"/>
    </row>
    <row r="2428" spans="1:20" s="14" customFormat="1" x14ac:dyDescent="0.3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S2428" s="31"/>
      <c r="T2428" s="31"/>
    </row>
    <row r="2429" spans="1:20" s="14" customFormat="1" x14ac:dyDescent="0.3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S2429" s="31"/>
      <c r="T2429" s="31"/>
    </row>
    <row r="2430" spans="1:20" s="14" customFormat="1" x14ac:dyDescent="0.3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S2430" s="31"/>
      <c r="T2430" s="31"/>
    </row>
    <row r="2431" spans="1:20" s="14" customFormat="1" x14ac:dyDescent="0.3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S2431" s="31"/>
      <c r="T2431" s="31"/>
    </row>
    <row r="2432" spans="1:20" s="14" customFormat="1" x14ac:dyDescent="0.3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S2432" s="31"/>
      <c r="T2432" s="31"/>
    </row>
    <row r="2433" spans="1:20" s="14" customFormat="1" x14ac:dyDescent="0.3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S2433" s="31"/>
      <c r="T2433" s="31"/>
    </row>
    <row r="2434" spans="1:20" s="14" customFormat="1" x14ac:dyDescent="0.3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S2434" s="31"/>
      <c r="T2434" s="31"/>
    </row>
    <row r="2435" spans="1:20" s="14" customFormat="1" x14ac:dyDescent="0.3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S2435" s="31"/>
      <c r="T2435" s="31"/>
    </row>
    <row r="2436" spans="1:20" s="14" customFormat="1" x14ac:dyDescent="0.3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S2436" s="31"/>
      <c r="T2436" s="31"/>
    </row>
    <row r="2437" spans="1:20" s="14" customFormat="1" x14ac:dyDescent="0.3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S2437" s="31"/>
      <c r="T2437" s="31"/>
    </row>
    <row r="2438" spans="1:20" s="14" customFormat="1" x14ac:dyDescent="0.3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S2438" s="31"/>
      <c r="T2438" s="31"/>
    </row>
    <row r="2439" spans="1:20" s="14" customFormat="1" x14ac:dyDescent="0.3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S2439" s="31"/>
      <c r="T2439" s="31"/>
    </row>
    <row r="2440" spans="1:20" s="14" customFormat="1" x14ac:dyDescent="0.3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S2440" s="31"/>
      <c r="T2440" s="31"/>
    </row>
    <row r="2441" spans="1:20" s="14" customFormat="1" x14ac:dyDescent="0.3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S2441" s="31"/>
      <c r="T2441" s="31"/>
    </row>
    <row r="2442" spans="1:20" s="14" customFormat="1" x14ac:dyDescent="0.3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S2442" s="31"/>
      <c r="T2442" s="31"/>
    </row>
    <row r="2443" spans="1:20" s="14" customFormat="1" x14ac:dyDescent="0.3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S2443" s="31"/>
      <c r="T2443" s="31"/>
    </row>
    <row r="2444" spans="1:20" s="14" customFormat="1" x14ac:dyDescent="0.3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S2444" s="31"/>
      <c r="T2444" s="31"/>
    </row>
    <row r="2445" spans="1:20" s="14" customFormat="1" x14ac:dyDescent="0.3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S2445" s="31"/>
      <c r="T2445" s="31"/>
    </row>
    <row r="2446" spans="1:20" s="14" customFormat="1" x14ac:dyDescent="0.3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S2446" s="31"/>
      <c r="T2446" s="31"/>
    </row>
    <row r="2447" spans="1:20" s="14" customFormat="1" x14ac:dyDescent="0.3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S2447" s="31"/>
      <c r="T2447" s="31"/>
    </row>
    <row r="2448" spans="1:20" s="14" customFormat="1" x14ac:dyDescent="0.3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S2448" s="31"/>
      <c r="T2448" s="31"/>
    </row>
    <row r="2449" spans="1:20" s="14" customFormat="1" x14ac:dyDescent="0.3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S2449" s="31"/>
      <c r="T2449" s="31"/>
    </row>
    <row r="2450" spans="1:20" s="14" customFormat="1" x14ac:dyDescent="0.3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S2450" s="31"/>
      <c r="T2450" s="31"/>
    </row>
    <row r="2451" spans="1:20" s="14" customFormat="1" x14ac:dyDescent="0.3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S2451" s="31"/>
      <c r="T2451" s="31"/>
    </row>
    <row r="2452" spans="1:20" s="14" customFormat="1" x14ac:dyDescent="0.3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S2452" s="31"/>
      <c r="T2452" s="31"/>
    </row>
    <row r="2453" spans="1:20" s="14" customFormat="1" x14ac:dyDescent="0.3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S2453" s="31"/>
      <c r="T2453" s="31"/>
    </row>
    <row r="2454" spans="1:20" s="14" customFormat="1" x14ac:dyDescent="0.3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S2454" s="31"/>
      <c r="T2454" s="31"/>
    </row>
    <row r="2455" spans="1:20" s="14" customFormat="1" x14ac:dyDescent="0.3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S2455" s="31"/>
      <c r="T2455" s="31"/>
    </row>
    <row r="2456" spans="1:20" s="14" customFormat="1" x14ac:dyDescent="0.3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S2456" s="31"/>
      <c r="T2456" s="31"/>
    </row>
    <row r="2457" spans="1:20" s="14" customFormat="1" x14ac:dyDescent="0.3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S2457" s="31"/>
      <c r="T2457" s="31"/>
    </row>
    <row r="2458" spans="1:20" s="14" customFormat="1" x14ac:dyDescent="0.3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S2458" s="31"/>
      <c r="T2458" s="31"/>
    </row>
    <row r="2459" spans="1:20" s="14" customFormat="1" x14ac:dyDescent="0.3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S2459" s="31"/>
      <c r="T2459" s="31"/>
    </row>
    <row r="2460" spans="1:20" s="14" customFormat="1" x14ac:dyDescent="0.3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S2460" s="31"/>
      <c r="T2460" s="31"/>
    </row>
    <row r="2461" spans="1:20" s="14" customFormat="1" x14ac:dyDescent="0.3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S2461" s="31"/>
      <c r="T2461" s="31"/>
    </row>
    <row r="2462" spans="1:20" s="14" customFormat="1" x14ac:dyDescent="0.3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S2462" s="31"/>
      <c r="T2462" s="31"/>
    </row>
    <row r="2463" spans="1:20" s="14" customFormat="1" x14ac:dyDescent="0.3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S2463" s="31"/>
      <c r="T2463" s="31"/>
    </row>
    <row r="2464" spans="1:20" s="14" customFormat="1" x14ac:dyDescent="0.3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S2464" s="31"/>
      <c r="T2464" s="31"/>
    </row>
    <row r="2465" spans="1:20" s="14" customFormat="1" x14ac:dyDescent="0.3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S2465" s="31"/>
      <c r="T2465" s="31"/>
    </row>
    <row r="2466" spans="1:20" s="14" customFormat="1" x14ac:dyDescent="0.3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S2466" s="31"/>
      <c r="T2466" s="31"/>
    </row>
    <row r="2467" spans="1:20" s="14" customFormat="1" x14ac:dyDescent="0.3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S2467" s="31"/>
      <c r="T2467" s="31"/>
    </row>
    <row r="2468" spans="1:20" s="14" customFormat="1" x14ac:dyDescent="0.3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S2468" s="31"/>
      <c r="T2468" s="31"/>
    </row>
    <row r="2469" spans="1:20" s="14" customFormat="1" x14ac:dyDescent="0.3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S2469" s="31"/>
      <c r="T2469" s="31"/>
    </row>
    <row r="2470" spans="1:20" s="14" customFormat="1" x14ac:dyDescent="0.3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S2470" s="31"/>
      <c r="T2470" s="31"/>
    </row>
    <row r="2471" spans="1:20" s="14" customFormat="1" x14ac:dyDescent="0.3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S2471" s="31"/>
      <c r="T2471" s="31"/>
    </row>
    <row r="2472" spans="1:20" s="14" customFormat="1" x14ac:dyDescent="0.3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S2472" s="31"/>
      <c r="T2472" s="31"/>
    </row>
    <row r="2473" spans="1:20" s="14" customFormat="1" x14ac:dyDescent="0.3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S2473" s="31"/>
      <c r="T2473" s="31"/>
    </row>
    <row r="2474" spans="1:20" s="14" customFormat="1" x14ac:dyDescent="0.3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S2474" s="31"/>
      <c r="T2474" s="31"/>
    </row>
    <row r="2475" spans="1:20" s="14" customFormat="1" x14ac:dyDescent="0.3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S2475" s="31"/>
      <c r="T2475" s="31"/>
    </row>
    <row r="2476" spans="1:20" s="14" customFormat="1" x14ac:dyDescent="0.3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S2476" s="31"/>
      <c r="T2476" s="31"/>
    </row>
    <row r="2477" spans="1:20" s="14" customFormat="1" x14ac:dyDescent="0.3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S2477" s="31"/>
      <c r="T2477" s="31"/>
    </row>
    <row r="2478" spans="1:20" s="14" customFormat="1" x14ac:dyDescent="0.3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S2478" s="31"/>
      <c r="T2478" s="31"/>
    </row>
    <row r="2479" spans="1:20" s="14" customFormat="1" x14ac:dyDescent="0.3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S2479" s="31"/>
      <c r="T2479" s="31"/>
    </row>
    <row r="2480" spans="1:20" s="14" customFormat="1" x14ac:dyDescent="0.3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S2480" s="31"/>
      <c r="T2480" s="31"/>
    </row>
    <row r="2481" spans="1:20" s="14" customFormat="1" x14ac:dyDescent="0.3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S2481" s="31"/>
      <c r="T2481" s="31"/>
    </row>
    <row r="2482" spans="1:20" s="14" customFormat="1" x14ac:dyDescent="0.3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S2482" s="31"/>
      <c r="T2482" s="31"/>
    </row>
    <row r="2483" spans="1:20" s="14" customFormat="1" x14ac:dyDescent="0.3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S2483" s="31"/>
      <c r="T2483" s="31"/>
    </row>
    <row r="2484" spans="1:20" s="14" customFormat="1" x14ac:dyDescent="0.3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S2484" s="31"/>
      <c r="T2484" s="31"/>
    </row>
    <row r="2485" spans="1:20" s="14" customFormat="1" x14ac:dyDescent="0.3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S2485" s="31"/>
      <c r="T2485" s="31"/>
    </row>
    <row r="2486" spans="1:20" s="14" customFormat="1" x14ac:dyDescent="0.3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S2486" s="31"/>
      <c r="T2486" s="31"/>
    </row>
    <row r="2487" spans="1:20" s="14" customFormat="1" x14ac:dyDescent="0.3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S2487" s="31"/>
      <c r="T2487" s="31"/>
    </row>
    <row r="2488" spans="1:20" s="14" customFormat="1" x14ac:dyDescent="0.3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S2488" s="31"/>
      <c r="T2488" s="31"/>
    </row>
    <row r="2489" spans="1:20" s="14" customFormat="1" x14ac:dyDescent="0.3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S2489" s="31"/>
      <c r="T2489" s="31"/>
    </row>
    <row r="2490" spans="1:20" s="14" customFormat="1" x14ac:dyDescent="0.3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S2490" s="31"/>
      <c r="T2490" s="31"/>
    </row>
    <row r="2491" spans="1:20" s="14" customFormat="1" x14ac:dyDescent="0.3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S2491" s="31"/>
      <c r="T2491" s="31"/>
    </row>
    <row r="2492" spans="1:20" s="14" customFormat="1" x14ac:dyDescent="0.3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S2492" s="31"/>
      <c r="T2492" s="31"/>
    </row>
    <row r="2493" spans="1:20" s="14" customFormat="1" x14ac:dyDescent="0.3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S2493" s="31"/>
      <c r="T2493" s="31"/>
    </row>
    <row r="2494" spans="1:20" s="14" customFormat="1" x14ac:dyDescent="0.3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S2494" s="31"/>
      <c r="T2494" s="31"/>
    </row>
    <row r="2495" spans="1:20" s="14" customFormat="1" x14ac:dyDescent="0.3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S2495" s="31"/>
      <c r="T2495" s="31"/>
    </row>
    <row r="2496" spans="1:20" s="14" customFormat="1" x14ac:dyDescent="0.3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S2496" s="31"/>
      <c r="T2496" s="31"/>
    </row>
    <row r="2497" spans="1:20" s="14" customFormat="1" x14ac:dyDescent="0.3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S2497" s="31"/>
      <c r="T2497" s="31"/>
    </row>
    <row r="2498" spans="1:20" s="14" customFormat="1" x14ac:dyDescent="0.3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S2498" s="31"/>
      <c r="T2498" s="31"/>
    </row>
    <row r="2499" spans="1:20" s="14" customFormat="1" x14ac:dyDescent="0.3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S2499" s="31"/>
      <c r="T2499" s="31"/>
    </row>
    <row r="2500" spans="1:20" s="14" customFormat="1" x14ac:dyDescent="0.3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S2500" s="31"/>
      <c r="T2500" s="31"/>
    </row>
    <row r="2501" spans="1:20" s="14" customFormat="1" x14ac:dyDescent="0.3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S2501" s="31"/>
      <c r="T2501" s="31"/>
    </row>
    <row r="2502" spans="1:20" s="14" customFormat="1" x14ac:dyDescent="0.3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S2502" s="31"/>
      <c r="T2502" s="31"/>
    </row>
    <row r="2503" spans="1:20" s="14" customFormat="1" x14ac:dyDescent="0.3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S2503" s="31"/>
      <c r="T2503" s="31"/>
    </row>
    <row r="2504" spans="1:20" s="14" customFormat="1" x14ac:dyDescent="0.3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S2504" s="31"/>
      <c r="T2504" s="31"/>
    </row>
    <row r="2505" spans="1:20" s="14" customFormat="1" x14ac:dyDescent="0.3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S2505" s="31"/>
      <c r="T2505" s="31"/>
    </row>
    <row r="2506" spans="1:20" s="14" customFormat="1" x14ac:dyDescent="0.3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S2506" s="31"/>
      <c r="T2506" s="31"/>
    </row>
    <row r="2507" spans="1:20" s="14" customFormat="1" x14ac:dyDescent="0.3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S2507" s="31"/>
      <c r="T2507" s="31"/>
    </row>
    <row r="2508" spans="1:20" s="14" customFormat="1" x14ac:dyDescent="0.3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S2508" s="31"/>
      <c r="T2508" s="31"/>
    </row>
    <row r="2509" spans="1:20" s="14" customFormat="1" x14ac:dyDescent="0.3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S2509" s="31"/>
      <c r="T2509" s="31"/>
    </row>
    <row r="2510" spans="1:20" s="14" customFormat="1" x14ac:dyDescent="0.3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S2510" s="31"/>
      <c r="T2510" s="31"/>
    </row>
    <row r="2511" spans="1:20" s="14" customFormat="1" x14ac:dyDescent="0.3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S2511" s="31"/>
      <c r="T2511" s="31"/>
    </row>
    <row r="2512" spans="1:20" s="14" customFormat="1" x14ac:dyDescent="0.3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S2512" s="31"/>
      <c r="T2512" s="31"/>
    </row>
    <row r="2513" spans="1:20" s="14" customFormat="1" x14ac:dyDescent="0.3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S2513" s="31"/>
      <c r="T2513" s="31"/>
    </row>
    <row r="2514" spans="1:20" s="14" customFormat="1" x14ac:dyDescent="0.3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S2514" s="31"/>
      <c r="T2514" s="31"/>
    </row>
    <row r="2515" spans="1:20" s="14" customFormat="1" x14ac:dyDescent="0.3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S2515" s="31"/>
      <c r="T2515" s="31"/>
    </row>
    <row r="2516" spans="1:20" s="14" customFormat="1" x14ac:dyDescent="0.3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S2516" s="31"/>
      <c r="T2516" s="31"/>
    </row>
    <row r="2517" spans="1:20" s="14" customFormat="1" x14ac:dyDescent="0.3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S2517" s="31"/>
      <c r="T2517" s="31"/>
    </row>
    <row r="2518" spans="1:20" s="14" customFormat="1" x14ac:dyDescent="0.3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S2518" s="31"/>
      <c r="T2518" s="31"/>
    </row>
    <row r="2519" spans="1:20" s="14" customFormat="1" x14ac:dyDescent="0.3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S2519" s="31"/>
      <c r="T2519" s="31"/>
    </row>
    <row r="2520" spans="1:20" s="14" customFormat="1" x14ac:dyDescent="0.3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S2520" s="31"/>
      <c r="T2520" s="31"/>
    </row>
    <row r="2521" spans="1:20" s="14" customFormat="1" x14ac:dyDescent="0.3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S2521" s="31"/>
      <c r="T2521" s="31"/>
    </row>
    <row r="2522" spans="1:20" s="14" customFormat="1" x14ac:dyDescent="0.3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S2522" s="31"/>
      <c r="T2522" s="31"/>
    </row>
    <row r="2523" spans="1:20" s="14" customFormat="1" x14ac:dyDescent="0.3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S2523" s="31"/>
      <c r="T2523" s="31"/>
    </row>
    <row r="2524" spans="1:20" s="14" customFormat="1" x14ac:dyDescent="0.3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S2524" s="31"/>
      <c r="T2524" s="31"/>
    </row>
    <row r="2525" spans="1:20" s="14" customFormat="1" x14ac:dyDescent="0.3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S2525" s="31"/>
      <c r="T2525" s="31"/>
    </row>
    <row r="2526" spans="1:20" s="14" customFormat="1" x14ac:dyDescent="0.3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S2526" s="31"/>
      <c r="T2526" s="31"/>
    </row>
    <row r="2527" spans="1:20" s="14" customFormat="1" x14ac:dyDescent="0.3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S2527" s="31"/>
      <c r="T2527" s="31"/>
    </row>
    <row r="2528" spans="1:20" s="14" customFormat="1" x14ac:dyDescent="0.3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S2528" s="31"/>
      <c r="T2528" s="31"/>
    </row>
    <row r="2529" spans="1:20" s="14" customFormat="1" x14ac:dyDescent="0.3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S2529" s="31"/>
      <c r="T2529" s="31"/>
    </row>
    <row r="2530" spans="1:20" s="14" customFormat="1" x14ac:dyDescent="0.3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S2530" s="31"/>
      <c r="T2530" s="31"/>
    </row>
    <row r="2531" spans="1:20" s="14" customFormat="1" x14ac:dyDescent="0.3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S2531" s="31"/>
      <c r="T2531" s="31"/>
    </row>
    <row r="2532" spans="1:20" s="14" customFormat="1" x14ac:dyDescent="0.3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S2532" s="31"/>
      <c r="T2532" s="31"/>
    </row>
    <row r="2533" spans="1:20" s="14" customFormat="1" x14ac:dyDescent="0.3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S2533" s="31"/>
      <c r="T2533" s="31"/>
    </row>
    <row r="2534" spans="1:20" s="14" customFormat="1" x14ac:dyDescent="0.3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S2534" s="31"/>
      <c r="T2534" s="31"/>
    </row>
    <row r="2535" spans="1:20" s="14" customFormat="1" x14ac:dyDescent="0.3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S2535" s="31"/>
      <c r="T2535" s="31"/>
    </row>
    <row r="2536" spans="1:20" s="14" customFormat="1" x14ac:dyDescent="0.3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S2536" s="31"/>
      <c r="T2536" s="31"/>
    </row>
    <row r="2537" spans="1:20" s="14" customFormat="1" x14ac:dyDescent="0.3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S2537" s="31"/>
      <c r="T2537" s="31"/>
    </row>
    <row r="2538" spans="1:20" s="14" customFormat="1" x14ac:dyDescent="0.3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S2538" s="31"/>
      <c r="T2538" s="31"/>
    </row>
    <row r="2539" spans="1:20" s="14" customFormat="1" x14ac:dyDescent="0.3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S2539" s="31"/>
      <c r="T2539" s="31"/>
    </row>
    <row r="2540" spans="1:20" s="14" customFormat="1" x14ac:dyDescent="0.3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S2540" s="31"/>
      <c r="T2540" s="31"/>
    </row>
    <row r="2541" spans="1:20" s="14" customFormat="1" x14ac:dyDescent="0.3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S2541" s="31"/>
      <c r="T2541" s="31"/>
    </row>
    <row r="2542" spans="1:20" s="14" customFormat="1" x14ac:dyDescent="0.3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S2542" s="31"/>
      <c r="T2542" s="31"/>
    </row>
    <row r="2543" spans="1:20" s="14" customFormat="1" x14ac:dyDescent="0.3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S2543" s="31"/>
      <c r="T2543" s="31"/>
    </row>
    <row r="2544" spans="1:20" s="14" customFormat="1" x14ac:dyDescent="0.3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S2544" s="31"/>
      <c r="T2544" s="31"/>
    </row>
    <row r="2545" spans="1:20" s="14" customFormat="1" x14ac:dyDescent="0.3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S2545" s="31"/>
      <c r="T2545" s="31"/>
    </row>
    <row r="2546" spans="1:20" s="14" customFormat="1" x14ac:dyDescent="0.3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S2546" s="31"/>
      <c r="T2546" s="31"/>
    </row>
    <row r="2547" spans="1:20" s="14" customFormat="1" x14ac:dyDescent="0.3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S2547" s="31"/>
      <c r="T2547" s="31"/>
    </row>
    <row r="2548" spans="1:20" s="14" customFormat="1" x14ac:dyDescent="0.3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S2548" s="31"/>
      <c r="T2548" s="31"/>
    </row>
    <row r="2549" spans="1:20" s="14" customFormat="1" x14ac:dyDescent="0.3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S2549" s="31"/>
      <c r="T2549" s="31"/>
    </row>
    <row r="2550" spans="1:20" s="14" customFormat="1" x14ac:dyDescent="0.3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S2550" s="31"/>
      <c r="T2550" s="31"/>
    </row>
    <row r="2551" spans="1:20" s="14" customFormat="1" x14ac:dyDescent="0.3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S2551" s="31"/>
      <c r="T2551" s="31"/>
    </row>
    <row r="2552" spans="1:20" s="14" customFormat="1" x14ac:dyDescent="0.3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S2552" s="31"/>
      <c r="T2552" s="31"/>
    </row>
    <row r="2553" spans="1:20" s="14" customFormat="1" x14ac:dyDescent="0.3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S2553" s="31"/>
      <c r="T2553" s="31"/>
    </row>
    <row r="2554" spans="1:20" s="14" customFormat="1" x14ac:dyDescent="0.3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S2554" s="31"/>
      <c r="T2554" s="31"/>
    </row>
    <row r="2555" spans="1:20" s="14" customFormat="1" x14ac:dyDescent="0.3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S2555" s="31"/>
      <c r="T2555" s="31"/>
    </row>
    <row r="2556" spans="1:20" s="14" customFormat="1" x14ac:dyDescent="0.3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S2556" s="31"/>
      <c r="T2556" s="31"/>
    </row>
    <row r="2557" spans="1:20" s="14" customFormat="1" x14ac:dyDescent="0.3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S2557" s="31"/>
      <c r="T2557" s="31"/>
    </row>
    <row r="2558" spans="1:20" s="14" customFormat="1" x14ac:dyDescent="0.3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S2558" s="31"/>
      <c r="T2558" s="31"/>
    </row>
    <row r="2559" spans="1:20" s="14" customFormat="1" x14ac:dyDescent="0.3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S2559" s="31"/>
      <c r="T2559" s="31"/>
    </row>
    <row r="2560" spans="1:20" s="14" customFormat="1" x14ac:dyDescent="0.3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S2560" s="31"/>
      <c r="T2560" s="31"/>
    </row>
    <row r="2561" spans="1:20" s="14" customFormat="1" x14ac:dyDescent="0.3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S2561" s="31"/>
      <c r="T2561" s="31"/>
    </row>
    <row r="2562" spans="1:20" s="14" customFormat="1" x14ac:dyDescent="0.3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S2562" s="31"/>
      <c r="T2562" s="31"/>
    </row>
    <row r="2563" spans="1:20" s="14" customFormat="1" x14ac:dyDescent="0.3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S2563" s="31"/>
      <c r="T2563" s="31"/>
    </row>
    <row r="2564" spans="1:20" s="14" customFormat="1" x14ac:dyDescent="0.3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S2564" s="31"/>
      <c r="T2564" s="31"/>
    </row>
    <row r="2565" spans="1:20" s="14" customFormat="1" x14ac:dyDescent="0.3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S2565" s="31"/>
      <c r="T2565" s="31"/>
    </row>
    <row r="2566" spans="1:20" s="14" customFormat="1" x14ac:dyDescent="0.3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S2566" s="31"/>
      <c r="T2566" s="31"/>
    </row>
    <row r="2567" spans="1:20" s="14" customFormat="1" x14ac:dyDescent="0.3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S2567" s="31"/>
      <c r="T2567" s="31"/>
    </row>
    <row r="2568" spans="1:20" s="14" customFormat="1" x14ac:dyDescent="0.3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S2568" s="31"/>
      <c r="T2568" s="31"/>
    </row>
    <row r="2569" spans="1:20" s="14" customFormat="1" x14ac:dyDescent="0.3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S2569" s="31"/>
      <c r="T2569" s="31"/>
    </row>
    <row r="2570" spans="1:20" s="14" customFormat="1" x14ac:dyDescent="0.3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S2570" s="31"/>
      <c r="T2570" s="31"/>
    </row>
    <row r="2571" spans="1:20" s="14" customFormat="1" x14ac:dyDescent="0.3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S2571" s="31"/>
      <c r="T2571" s="31"/>
    </row>
    <row r="2572" spans="1:20" s="14" customFormat="1" x14ac:dyDescent="0.3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S2572" s="31"/>
      <c r="T2572" s="31"/>
    </row>
    <row r="2573" spans="1:20" s="14" customFormat="1" x14ac:dyDescent="0.3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S2573" s="31"/>
      <c r="T2573" s="31"/>
    </row>
    <row r="2574" spans="1:20" s="14" customFormat="1" x14ac:dyDescent="0.3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S2574" s="31"/>
      <c r="T2574" s="31"/>
    </row>
    <row r="2575" spans="1:20" s="14" customFormat="1" x14ac:dyDescent="0.3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S2575" s="31"/>
      <c r="T2575" s="31"/>
    </row>
    <row r="2576" spans="1:20" s="14" customFormat="1" x14ac:dyDescent="0.3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S2576" s="31"/>
      <c r="T2576" s="31"/>
    </row>
    <row r="2577" spans="1:20" s="14" customFormat="1" x14ac:dyDescent="0.3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S2577" s="31"/>
      <c r="T2577" s="31"/>
    </row>
    <row r="2578" spans="1:20" s="14" customFormat="1" x14ac:dyDescent="0.3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S2578" s="31"/>
      <c r="T2578" s="31"/>
    </row>
    <row r="2579" spans="1:20" s="14" customFormat="1" x14ac:dyDescent="0.3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S2579" s="31"/>
      <c r="T2579" s="31"/>
    </row>
    <row r="2580" spans="1:20" s="14" customFormat="1" x14ac:dyDescent="0.3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S2580" s="31"/>
      <c r="T2580" s="31"/>
    </row>
    <row r="2581" spans="1:20" s="14" customFormat="1" x14ac:dyDescent="0.3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S2581" s="31"/>
      <c r="T2581" s="31"/>
    </row>
    <row r="2582" spans="1:20" s="14" customFormat="1" x14ac:dyDescent="0.3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S2582" s="31"/>
      <c r="T2582" s="31"/>
    </row>
    <row r="2583" spans="1:20" s="14" customFormat="1" x14ac:dyDescent="0.3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S2583" s="31"/>
      <c r="T2583" s="31"/>
    </row>
    <row r="2584" spans="1:20" s="14" customFormat="1" x14ac:dyDescent="0.3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S2584" s="31"/>
      <c r="T2584" s="31"/>
    </row>
    <row r="2585" spans="1:20" s="14" customFormat="1" x14ac:dyDescent="0.3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S2585" s="31"/>
      <c r="T2585" s="31"/>
    </row>
    <row r="2586" spans="1:20" s="14" customFormat="1" x14ac:dyDescent="0.3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S2586" s="31"/>
      <c r="T2586" s="31"/>
    </row>
    <row r="2587" spans="1:20" s="14" customFormat="1" x14ac:dyDescent="0.3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S2587" s="31"/>
      <c r="T2587" s="31"/>
    </row>
    <row r="2588" spans="1:20" s="14" customFormat="1" x14ac:dyDescent="0.3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S2588" s="31"/>
      <c r="T2588" s="31"/>
    </row>
    <row r="2589" spans="1:20" s="14" customFormat="1" x14ac:dyDescent="0.3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S2589" s="31"/>
      <c r="T2589" s="31"/>
    </row>
    <row r="2590" spans="1:20" s="14" customFormat="1" x14ac:dyDescent="0.3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S2590" s="31"/>
      <c r="T2590" s="31"/>
    </row>
    <row r="2591" spans="1:20" s="14" customFormat="1" x14ac:dyDescent="0.3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S2591" s="31"/>
      <c r="T2591" s="31"/>
    </row>
    <row r="2592" spans="1:20" s="14" customFormat="1" x14ac:dyDescent="0.3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S2592" s="31"/>
      <c r="T2592" s="31"/>
    </row>
    <row r="2593" spans="1:20" s="14" customFormat="1" x14ac:dyDescent="0.3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S2593" s="31"/>
      <c r="T2593" s="31"/>
    </row>
    <row r="2594" spans="1:20" s="14" customFormat="1" x14ac:dyDescent="0.3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S2594" s="31"/>
      <c r="T2594" s="31"/>
    </row>
    <row r="2595" spans="1:20" s="14" customFormat="1" x14ac:dyDescent="0.3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S2595" s="31"/>
      <c r="T2595" s="31"/>
    </row>
    <row r="2596" spans="1:20" s="14" customFormat="1" x14ac:dyDescent="0.3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S2596" s="31"/>
      <c r="T2596" s="31"/>
    </row>
    <row r="2597" spans="1:20" s="14" customFormat="1" x14ac:dyDescent="0.3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S2597" s="31"/>
      <c r="T2597" s="31"/>
    </row>
    <row r="2598" spans="1:20" s="14" customFormat="1" x14ac:dyDescent="0.3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S2598" s="31"/>
      <c r="T2598" s="31"/>
    </row>
    <row r="2599" spans="1:20" s="14" customFormat="1" x14ac:dyDescent="0.3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S2599" s="31"/>
      <c r="T2599" s="31"/>
    </row>
    <row r="2600" spans="1:20" s="14" customFormat="1" x14ac:dyDescent="0.3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S2600" s="31"/>
      <c r="T2600" s="31"/>
    </row>
    <row r="2601" spans="1:20" s="14" customFormat="1" x14ac:dyDescent="0.3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S2601" s="31"/>
      <c r="T2601" s="31"/>
    </row>
    <row r="2602" spans="1:20" s="14" customFormat="1" x14ac:dyDescent="0.3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S2602" s="31"/>
      <c r="T2602" s="31"/>
    </row>
    <row r="2603" spans="1:20" s="14" customFormat="1" x14ac:dyDescent="0.3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S2603" s="31"/>
      <c r="T2603" s="31"/>
    </row>
    <row r="2604" spans="1:20" s="14" customFormat="1" x14ac:dyDescent="0.3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S2604" s="31"/>
      <c r="T2604" s="31"/>
    </row>
    <row r="2605" spans="1:20" s="14" customFormat="1" x14ac:dyDescent="0.3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S2605" s="31"/>
      <c r="T2605" s="31"/>
    </row>
    <row r="2606" spans="1:20" s="14" customFormat="1" x14ac:dyDescent="0.3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S2606" s="31"/>
      <c r="T2606" s="31"/>
    </row>
    <row r="2607" spans="1:20" s="14" customFormat="1" x14ac:dyDescent="0.3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S2607" s="31"/>
      <c r="T2607" s="31"/>
    </row>
    <row r="2608" spans="1:20" s="14" customFormat="1" x14ac:dyDescent="0.3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S2608" s="31"/>
      <c r="T2608" s="31"/>
    </row>
    <row r="2609" spans="1:20" s="14" customFormat="1" x14ac:dyDescent="0.3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S2609" s="31"/>
      <c r="T2609" s="31"/>
    </row>
    <row r="2610" spans="1:20" s="14" customFormat="1" x14ac:dyDescent="0.3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S2610" s="31"/>
      <c r="T2610" s="31"/>
    </row>
    <row r="2611" spans="1:20" s="14" customFormat="1" x14ac:dyDescent="0.3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S2611" s="31"/>
      <c r="T2611" s="31"/>
    </row>
    <row r="2612" spans="1:20" s="14" customFormat="1" x14ac:dyDescent="0.3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S2612" s="31"/>
      <c r="T2612" s="31"/>
    </row>
    <row r="2613" spans="1:20" s="14" customFormat="1" x14ac:dyDescent="0.3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S2613" s="31"/>
      <c r="T2613" s="31"/>
    </row>
    <row r="2614" spans="1:20" s="14" customFormat="1" x14ac:dyDescent="0.3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S2614" s="31"/>
      <c r="T2614" s="31"/>
    </row>
    <row r="2615" spans="1:20" s="14" customFormat="1" x14ac:dyDescent="0.3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S2615" s="31"/>
      <c r="T2615" s="31"/>
    </row>
    <row r="2616" spans="1:20" s="14" customFormat="1" x14ac:dyDescent="0.3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S2616" s="31"/>
      <c r="T2616" s="31"/>
    </row>
    <row r="2617" spans="1:20" s="14" customFormat="1" x14ac:dyDescent="0.3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S2617" s="31"/>
      <c r="T2617" s="31"/>
    </row>
    <row r="2618" spans="1:20" s="14" customFormat="1" x14ac:dyDescent="0.3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S2618" s="31"/>
      <c r="T2618" s="31"/>
    </row>
    <row r="2619" spans="1:20" s="14" customFormat="1" x14ac:dyDescent="0.3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S2619" s="31"/>
      <c r="T2619" s="31"/>
    </row>
    <row r="2620" spans="1:20" s="14" customFormat="1" x14ac:dyDescent="0.3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S2620" s="31"/>
      <c r="T2620" s="31"/>
    </row>
    <row r="2621" spans="1:20" s="14" customFormat="1" x14ac:dyDescent="0.3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S2621" s="31"/>
      <c r="T2621" s="31"/>
    </row>
    <row r="2622" spans="1:20" s="14" customFormat="1" x14ac:dyDescent="0.3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S2622" s="31"/>
      <c r="T2622" s="31"/>
    </row>
    <row r="2623" spans="1:20" s="14" customFormat="1" x14ac:dyDescent="0.3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S2623" s="31"/>
      <c r="T2623" s="31"/>
    </row>
    <row r="2624" spans="1:20" s="14" customFormat="1" x14ac:dyDescent="0.3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S2624" s="31"/>
      <c r="T2624" s="31"/>
    </row>
    <row r="2625" spans="1:20" s="14" customFormat="1" x14ac:dyDescent="0.3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S2625" s="31"/>
      <c r="T2625" s="31"/>
    </row>
    <row r="2626" spans="1:20" s="14" customFormat="1" x14ac:dyDescent="0.3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S2626" s="31"/>
      <c r="T2626" s="31"/>
    </row>
    <row r="2627" spans="1:20" s="14" customFormat="1" x14ac:dyDescent="0.3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S2627" s="31"/>
      <c r="T2627" s="31"/>
    </row>
    <row r="2628" spans="1:20" s="14" customFormat="1" x14ac:dyDescent="0.3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S2628" s="31"/>
      <c r="T2628" s="31"/>
    </row>
    <row r="2629" spans="1:20" s="14" customFormat="1" x14ac:dyDescent="0.3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S2629" s="31"/>
      <c r="T2629" s="31"/>
    </row>
    <row r="2630" spans="1:20" s="14" customFormat="1" x14ac:dyDescent="0.3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S2630" s="31"/>
      <c r="T2630" s="31"/>
    </row>
    <row r="2631" spans="1:20" s="14" customFormat="1" x14ac:dyDescent="0.3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S2631" s="31"/>
      <c r="T2631" s="31"/>
    </row>
    <row r="2632" spans="1:20" s="14" customFormat="1" x14ac:dyDescent="0.3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S2632" s="31"/>
      <c r="T2632" s="31"/>
    </row>
    <row r="2633" spans="1:20" s="14" customFormat="1" x14ac:dyDescent="0.3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S2633" s="31"/>
      <c r="T2633" s="31"/>
    </row>
    <row r="2634" spans="1:20" s="14" customFormat="1" x14ac:dyDescent="0.3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S2634" s="31"/>
      <c r="T2634" s="31"/>
    </row>
    <row r="2635" spans="1:20" s="14" customFormat="1" x14ac:dyDescent="0.3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S2635" s="31"/>
      <c r="T2635" s="31"/>
    </row>
    <row r="2636" spans="1:20" s="14" customFormat="1" x14ac:dyDescent="0.3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S2636" s="31"/>
      <c r="T2636" s="31"/>
    </row>
    <row r="2637" spans="1:20" s="14" customFormat="1" x14ac:dyDescent="0.3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S2637" s="31"/>
      <c r="T2637" s="31"/>
    </row>
    <row r="2638" spans="1:20" s="14" customFormat="1" x14ac:dyDescent="0.3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S2638" s="31"/>
      <c r="T2638" s="31"/>
    </row>
    <row r="2639" spans="1:20" s="14" customFormat="1" x14ac:dyDescent="0.3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S2639" s="31"/>
      <c r="T2639" s="31"/>
    </row>
    <row r="2640" spans="1:20" s="14" customFormat="1" x14ac:dyDescent="0.3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S2640" s="31"/>
      <c r="T2640" s="31"/>
    </row>
    <row r="2641" spans="1:20" s="14" customFormat="1" x14ac:dyDescent="0.3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S2641" s="31"/>
      <c r="T2641" s="31"/>
    </row>
    <row r="2642" spans="1:20" s="14" customFormat="1" x14ac:dyDescent="0.3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S2642" s="31"/>
      <c r="T2642" s="31"/>
    </row>
    <row r="2643" spans="1:20" s="14" customFormat="1" x14ac:dyDescent="0.3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S2643" s="31"/>
      <c r="T2643" s="31"/>
    </row>
    <row r="2644" spans="1:20" s="14" customFormat="1" x14ac:dyDescent="0.3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S2644" s="31"/>
      <c r="T2644" s="31"/>
    </row>
    <row r="2645" spans="1:20" s="14" customFormat="1" x14ac:dyDescent="0.3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S2645" s="31"/>
      <c r="T2645" s="31"/>
    </row>
    <row r="2646" spans="1:20" s="14" customFormat="1" x14ac:dyDescent="0.3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S2646" s="31"/>
      <c r="T2646" s="31"/>
    </row>
    <row r="2647" spans="1:20" s="14" customFormat="1" x14ac:dyDescent="0.3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S2647" s="31"/>
      <c r="T2647" s="31"/>
    </row>
    <row r="2648" spans="1:20" s="14" customFormat="1" x14ac:dyDescent="0.3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S2648" s="31"/>
      <c r="T2648" s="31"/>
    </row>
    <row r="2649" spans="1:20" s="14" customFormat="1" x14ac:dyDescent="0.3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S2649" s="31"/>
      <c r="T2649" s="31"/>
    </row>
    <row r="2650" spans="1:20" s="14" customFormat="1" x14ac:dyDescent="0.3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S2650" s="31"/>
      <c r="T2650" s="31"/>
    </row>
    <row r="2651" spans="1:20" s="14" customFormat="1" x14ac:dyDescent="0.3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S2651" s="31"/>
      <c r="T2651" s="31"/>
    </row>
    <row r="2652" spans="1:20" s="14" customFormat="1" x14ac:dyDescent="0.3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S2652" s="31"/>
      <c r="T2652" s="31"/>
    </row>
    <row r="2653" spans="1:20" s="14" customFormat="1" x14ac:dyDescent="0.3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S2653" s="31"/>
      <c r="T2653" s="31"/>
    </row>
    <row r="2654" spans="1:20" s="14" customFormat="1" x14ac:dyDescent="0.3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S2654" s="31"/>
      <c r="T2654" s="31"/>
    </row>
    <row r="2655" spans="1:20" s="14" customFormat="1" x14ac:dyDescent="0.3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S2655" s="31"/>
      <c r="T2655" s="31"/>
    </row>
    <row r="2656" spans="1:20" s="14" customFormat="1" x14ac:dyDescent="0.3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S2656" s="31"/>
      <c r="T2656" s="31"/>
    </row>
    <row r="2657" spans="1:20" s="14" customFormat="1" x14ac:dyDescent="0.3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S2657" s="31"/>
      <c r="T2657" s="31"/>
    </row>
    <row r="2658" spans="1:20" s="14" customFormat="1" x14ac:dyDescent="0.3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S2658" s="31"/>
      <c r="T2658" s="31"/>
    </row>
    <row r="2659" spans="1:20" s="14" customFormat="1" x14ac:dyDescent="0.3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S2659" s="31"/>
      <c r="T2659" s="31"/>
    </row>
    <row r="2660" spans="1:20" s="14" customFormat="1" x14ac:dyDescent="0.3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S2660" s="31"/>
      <c r="T2660" s="31"/>
    </row>
    <row r="2661" spans="1:20" s="14" customFormat="1" x14ac:dyDescent="0.3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S2661" s="31"/>
      <c r="T2661" s="31"/>
    </row>
    <row r="2662" spans="1:20" s="14" customFormat="1" x14ac:dyDescent="0.3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S2662" s="31"/>
      <c r="T2662" s="31"/>
    </row>
    <row r="2663" spans="1:20" s="14" customFormat="1" x14ac:dyDescent="0.3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S2663" s="31"/>
      <c r="T2663" s="31"/>
    </row>
    <row r="2664" spans="1:20" s="14" customFormat="1" x14ac:dyDescent="0.3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S2664" s="31"/>
      <c r="T2664" s="31"/>
    </row>
    <row r="2665" spans="1:20" s="14" customFormat="1" x14ac:dyDescent="0.3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S2665" s="31"/>
      <c r="T2665" s="31"/>
    </row>
    <row r="2666" spans="1:20" s="14" customFormat="1" x14ac:dyDescent="0.3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S2666" s="31"/>
      <c r="T2666" s="31"/>
    </row>
    <row r="2667" spans="1:20" s="14" customFormat="1" x14ac:dyDescent="0.3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S2667" s="31"/>
      <c r="T2667" s="31"/>
    </row>
    <row r="2668" spans="1:20" s="14" customFormat="1" x14ac:dyDescent="0.3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S2668" s="31"/>
      <c r="T2668" s="31"/>
    </row>
    <row r="2669" spans="1:20" s="14" customFormat="1" x14ac:dyDescent="0.3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S2669" s="31"/>
      <c r="T2669" s="31"/>
    </row>
    <row r="2670" spans="1:20" s="14" customFormat="1" x14ac:dyDescent="0.3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S2670" s="31"/>
      <c r="T2670" s="31"/>
    </row>
    <row r="2671" spans="1:20" s="14" customFormat="1" x14ac:dyDescent="0.3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S2671" s="31"/>
      <c r="T2671" s="31"/>
    </row>
    <row r="2672" spans="1:20" s="14" customFormat="1" x14ac:dyDescent="0.3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S2672" s="31"/>
      <c r="T2672" s="31"/>
    </row>
    <row r="2673" spans="1:20" s="14" customFormat="1" x14ac:dyDescent="0.3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S2673" s="31"/>
      <c r="T2673" s="31"/>
    </row>
    <row r="2674" spans="1:20" s="14" customFormat="1" x14ac:dyDescent="0.3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S2674" s="31"/>
      <c r="T2674" s="31"/>
    </row>
    <row r="2675" spans="1:20" s="14" customFormat="1" x14ac:dyDescent="0.3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S2675" s="31"/>
      <c r="T2675" s="31"/>
    </row>
    <row r="2676" spans="1:20" s="14" customFormat="1" x14ac:dyDescent="0.3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S2676" s="31"/>
      <c r="T2676" s="31"/>
    </row>
    <row r="2677" spans="1:20" s="14" customFormat="1" x14ac:dyDescent="0.3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S2677" s="31"/>
      <c r="T2677" s="31"/>
    </row>
    <row r="2678" spans="1:20" s="14" customFormat="1" x14ac:dyDescent="0.3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S2678" s="31"/>
      <c r="T2678" s="31"/>
    </row>
    <row r="2679" spans="1:20" s="14" customFormat="1" x14ac:dyDescent="0.3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S2679" s="31"/>
      <c r="T2679" s="31"/>
    </row>
    <row r="2680" spans="1:20" s="14" customFormat="1" x14ac:dyDescent="0.3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S2680" s="31"/>
      <c r="T2680" s="31"/>
    </row>
    <row r="2681" spans="1:20" s="14" customFormat="1" x14ac:dyDescent="0.3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S2681" s="31"/>
      <c r="T2681" s="31"/>
    </row>
    <row r="2682" spans="1:20" s="14" customFormat="1" x14ac:dyDescent="0.3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S2682" s="31"/>
      <c r="T2682" s="31"/>
    </row>
    <row r="2683" spans="1:20" s="14" customFormat="1" x14ac:dyDescent="0.3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S2683" s="31"/>
      <c r="T2683" s="31"/>
    </row>
    <row r="2684" spans="1:20" s="14" customFormat="1" x14ac:dyDescent="0.3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S2684" s="31"/>
      <c r="T2684" s="31"/>
    </row>
    <row r="2685" spans="1:20" s="14" customFormat="1" x14ac:dyDescent="0.3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S2685" s="31"/>
      <c r="T2685" s="31"/>
    </row>
    <row r="2686" spans="1:20" s="14" customFormat="1" x14ac:dyDescent="0.3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S2686" s="31"/>
      <c r="T2686" s="31"/>
    </row>
    <row r="2687" spans="1:20" s="14" customFormat="1" x14ac:dyDescent="0.3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S2687" s="31"/>
      <c r="T2687" s="31"/>
    </row>
    <row r="2688" spans="1:20" s="14" customFormat="1" x14ac:dyDescent="0.3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S2688" s="31"/>
      <c r="T2688" s="31"/>
    </row>
    <row r="2689" spans="1:20" s="14" customFormat="1" x14ac:dyDescent="0.3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S2689" s="31"/>
      <c r="T2689" s="31"/>
    </row>
    <row r="2690" spans="1:20" s="14" customFormat="1" x14ac:dyDescent="0.3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S2690" s="31"/>
      <c r="T2690" s="31"/>
    </row>
    <row r="2691" spans="1:20" s="14" customFormat="1" x14ac:dyDescent="0.3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S2691" s="31"/>
      <c r="T2691" s="31"/>
    </row>
    <row r="2692" spans="1:20" s="14" customFormat="1" x14ac:dyDescent="0.3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S2692" s="31"/>
      <c r="T2692" s="31"/>
    </row>
    <row r="2693" spans="1:20" s="14" customFormat="1" x14ac:dyDescent="0.3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S2693" s="31"/>
      <c r="T2693" s="31"/>
    </row>
    <row r="2694" spans="1:20" s="14" customFormat="1" x14ac:dyDescent="0.3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S2694" s="31"/>
      <c r="T2694" s="31"/>
    </row>
    <row r="2695" spans="1:20" s="14" customFormat="1" x14ac:dyDescent="0.3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S2695" s="31"/>
      <c r="T2695" s="31"/>
    </row>
    <row r="2696" spans="1:20" s="14" customFormat="1" x14ac:dyDescent="0.3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S2696" s="31"/>
      <c r="T2696" s="31"/>
    </row>
    <row r="2697" spans="1:20" s="14" customFormat="1" x14ac:dyDescent="0.3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S2697" s="31"/>
      <c r="T2697" s="31"/>
    </row>
    <row r="2698" spans="1:20" s="14" customFormat="1" x14ac:dyDescent="0.3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S2698" s="31"/>
      <c r="T2698" s="31"/>
    </row>
    <row r="2699" spans="1:20" s="14" customFormat="1" x14ac:dyDescent="0.3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S2699" s="31"/>
      <c r="T2699" s="31"/>
    </row>
    <row r="2700" spans="1:20" s="14" customFormat="1" x14ac:dyDescent="0.3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S2700" s="31"/>
      <c r="T2700" s="31"/>
    </row>
    <row r="2701" spans="1:20" s="14" customFormat="1" x14ac:dyDescent="0.3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S2701" s="31"/>
      <c r="T2701" s="31"/>
    </row>
    <row r="2702" spans="1:20" s="14" customFormat="1" x14ac:dyDescent="0.3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S2702" s="31"/>
      <c r="T2702" s="31"/>
    </row>
    <row r="2703" spans="1:20" s="14" customFormat="1" x14ac:dyDescent="0.3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S2703" s="31"/>
      <c r="T2703" s="31"/>
    </row>
    <row r="2704" spans="1:20" s="14" customFormat="1" x14ac:dyDescent="0.3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S2704" s="31"/>
      <c r="T2704" s="31"/>
    </row>
    <row r="2705" spans="1:20" s="14" customFormat="1" x14ac:dyDescent="0.3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S2705" s="31"/>
      <c r="T2705" s="31"/>
    </row>
    <row r="2706" spans="1:20" s="14" customFormat="1" x14ac:dyDescent="0.3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S2706" s="31"/>
      <c r="T2706" s="31"/>
    </row>
    <row r="2707" spans="1:20" s="14" customFormat="1" x14ac:dyDescent="0.3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S2707" s="31"/>
      <c r="T2707" s="31"/>
    </row>
    <row r="2708" spans="1:20" s="14" customFormat="1" x14ac:dyDescent="0.3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S2708" s="31"/>
      <c r="T2708" s="31"/>
    </row>
    <row r="2709" spans="1:20" s="14" customFormat="1" x14ac:dyDescent="0.3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S2709" s="31"/>
      <c r="T2709" s="31"/>
    </row>
    <row r="2710" spans="1:20" s="14" customFormat="1" x14ac:dyDescent="0.3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S2710" s="31"/>
      <c r="T2710" s="31"/>
    </row>
    <row r="2711" spans="1:20" s="14" customFormat="1" x14ac:dyDescent="0.3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S2711" s="31"/>
      <c r="T2711" s="31"/>
    </row>
    <row r="2712" spans="1:20" s="14" customFormat="1" x14ac:dyDescent="0.3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S2712" s="31"/>
      <c r="T2712" s="31"/>
    </row>
    <row r="2713" spans="1:20" s="14" customFormat="1" x14ac:dyDescent="0.3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S2713" s="31"/>
      <c r="T2713" s="31"/>
    </row>
    <row r="2714" spans="1:20" s="14" customFormat="1" x14ac:dyDescent="0.3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S2714" s="31"/>
      <c r="T2714" s="31"/>
    </row>
    <row r="2715" spans="1:20" s="14" customFormat="1" x14ac:dyDescent="0.3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S2715" s="31"/>
      <c r="T2715" s="31"/>
    </row>
    <row r="2716" spans="1:20" s="14" customFormat="1" x14ac:dyDescent="0.3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S2716" s="31"/>
      <c r="T2716" s="31"/>
    </row>
    <row r="2717" spans="1:20" s="14" customFormat="1" x14ac:dyDescent="0.3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S2717" s="31"/>
      <c r="T2717" s="31"/>
    </row>
    <row r="2718" spans="1:20" s="14" customFormat="1" x14ac:dyDescent="0.3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S2718" s="31"/>
      <c r="T2718" s="31"/>
    </row>
    <row r="2719" spans="1:20" s="14" customFormat="1" x14ac:dyDescent="0.3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S2719" s="31"/>
      <c r="T2719" s="31"/>
    </row>
    <row r="2720" spans="1:20" s="14" customFormat="1" x14ac:dyDescent="0.3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S2720" s="31"/>
      <c r="T2720" s="31"/>
    </row>
    <row r="2721" spans="1:20" s="14" customFormat="1" x14ac:dyDescent="0.3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S2721" s="31"/>
      <c r="T2721" s="31"/>
    </row>
    <row r="2722" spans="1:20" s="14" customFormat="1" x14ac:dyDescent="0.3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S2722" s="31"/>
      <c r="T2722" s="31"/>
    </row>
    <row r="2723" spans="1:20" s="14" customFormat="1" x14ac:dyDescent="0.3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S2723" s="31"/>
      <c r="T2723" s="31"/>
    </row>
    <row r="2724" spans="1:20" s="14" customFormat="1" x14ac:dyDescent="0.3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S2724" s="31"/>
      <c r="T2724" s="31"/>
    </row>
    <row r="2725" spans="1:20" s="14" customFormat="1" x14ac:dyDescent="0.3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S2725" s="31"/>
      <c r="T2725" s="31"/>
    </row>
    <row r="2726" spans="1:20" s="14" customFormat="1" x14ac:dyDescent="0.3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S2726" s="31"/>
      <c r="T2726" s="31"/>
    </row>
    <row r="2727" spans="1:20" s="14" customFormat="1" x14ac:dyDescent="0.3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S2727" s="31"/>
      <c r="T2727" s="31"/>
    </row>
    <row r="2728" spans="1:20" s="14" customFormat="1" x14ac:dyDescent="0.3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S2728" s="31"/>
      <c r="T2728" s="31"/>
    </row>
    <row r="2729" spans="1:20" s="14" customFormat="1" x14ac:dyDescent="0.3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S2729" s="31"/>
      <c r="T2729" s="31"/>
    </row>
    <row r="2730" spans="1:20" s="14" customFormat="1" x14ac:dyDescent="0.3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S2730" s="31"/>
      <c r="T2730" s="31"/>
    </row>
    <row r="2731" spans="1:20" s="14" customFormat="1" x14ac:dyDescent="0.3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S2731" s="31"/>
      <c r="T2731" s="31"/>
    </row>
    <row r="2732" spans="1:20" s="14" customFormat="1" x14ac:dyDescent="0.3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S2732" s="31"/>
      <c r="T2732" s="31"/>
    </row>
    <row r="2733" spans="1:20" s="14" customFormat="1" x14ac:dyDescent="0.3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S2733" s="31"/>
      <c r="T2733" s="31"/>
    </row>
    <row r="2734" spans="1:20" s="14" customFormat="1" x14ac:dyDescent="0.3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S2734" s="31"/>
      <c r="T2734" s="31"/>
    </row>
    <row r="2735" spans="1:20" s="14" customFormat="1" x14ac:dyDescent="0.3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S2735" s="31"/>
      <c r="T2735" s="31"/>
    </row>
    <row r="2736" spans="1:20" s="14" customFormat="1" x14ac:dyDescent="0.3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S2736" s="31"/>
      <c r="T2736" s="31"/>
    </row>
    <row r="2737" spans="1:20" s="14" customFormat="1" x14ac:dyDescent="0.3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S2737" s="31"/>
      <c r="T2737" s="31"/>
    </row>
    <row r="2738" spans="1:20" s="14" customFormat="1" x14ac:dyDescent="0.3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S2738" s="31"/>
      <c r="T2738" s="31"/>
    </row>
    <row r="2739" spans="1:20" s="14" customFormat="1" x14ac:dyDescent="0.3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S2739" s="31"/>
      <c r="T2739" s="31"/>
    </row>
    <row r="2740" spans="1:20" s="14" customFormat="1" x14ac:dyDescent="0.3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S2740" s="31"/>
      <c r="T2740" s="31"/>
    </row>
    <row r="2741" spans="1:20" s="14" customFormat="1" x14ac:dyDescent="0.3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S2741" s="31"/>
      <c r="T2741" s="31"/>
    </row>
    <row r="2742" spans="1:20" s="14" customFormat="1" x14ac:dyDescent="0.3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S2742" s="31"/>
      <c r="T2742" s="31"/>
    </row>
    <row r="2743" spans="1:20" s="14" customFormat="1" x14ac:dyDescent="0.3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S2743" s="31"/>
      <c r="T2743" s="31"/>
    </row>
    <row r="2744" spans="1:20" s="14" customFormat="1" x14ac:dyDescent="0.3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S2744" s="31"/>
      <c r="T2744" s="31"/>
    </row>
    <row r="2745" spans="1:20" s="14" customFormat="1" x14ac:dyDescent="0.3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S2745" s="31"/>
      <c r="T2745" s="31"/>
    </row>
    <row r="2746" spans="1:20" s="14" customFormat="1" x14ac:dyDescent="0.3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S2746" s="31"/>
      <c r="T2746" s="31"/>
    </row>
    <row r="2747" spans="1:20" s="14" customFormat="1" x14ac:dyDescent="0.3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S2747" s="31"/>
      <c r="T2747" s="31"/>
    </row>
    <row r="2748" spans="1:20" s="14" customFormat="1" x14ac:dyDescent="0.3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S2748" s="31"/>
      <c r="T2748" s="31"/>
    </row>
    <row r="2749" spans="1:20" s="14" customFormat="1" x14ac:dyDescent="0.3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S2749" s="31"/>
      <c r="T2749" s="31"/>
    </row>
    <row r="2750" spans="1:20" s="14" customFormat="1" x14ac:dyDescent="0.3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S2750" s="31"/>
      <c r="T2750" s="31"/>
    </row>
    <row r="2751" spans="1:20" s="14" customFormat="1" x14ac:dyDescent="0.3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S2751" s="31"/>
      <c r="T2751" s="31"/>
    </row>
    <row r="2752" spans="1:20" s="14" customFormat="1" x14ac:dyDescent="0.3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S2752" s="31"/>
      <c r="T2752" s="31"/>
    </row>
    <row r="2753" spans="1:20" s="14" customFormat="1" x14ac:dyDescent="0.3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S2753" s="31"/>
      <c r="T2753" s="31"/>
    </row>
    <row r="2754" spans="1:20" s="14" customFormat="1" x14ac:dyDescent="0.3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S2754" s="31"/>
      <c r="T2754" s="31"/>
    </row>
    <row r="2755" spans="1:20" s="14" customFormat="1" x14ac:dyDescent="0.3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S2755" s="31"/>
      <c r="T2755" s="31"/>
    </row>
    <row r="2756" spans="1:20" s="14" customFormat="1" x14ac:dyDescent="0.3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S2756" s="31"/>
      <c r="T2756" s="31"/>
    </row>
    <row r="2757" spans="1:20" s="14" customFormat="1" x14ac:dyDescent="0.3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S2757" s="31"/>
      <c r="T2757" s="31"/>
    </row>
    <row r="2758" spans="1:20" s="14" customFormat="1" x14ac:dyDescent="0.3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S2758" s="31"/>
      <c r="T2758" s="31"/>
    </row>
    <row r="2759" spans="1:20" s="14" customFormat="1" x14ac:dyDescent="0.3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S2759" s="31"/>
      <c r="T2759" s="31"/>
    </row>
    <row r="2760" spans="1:20" s="14" customFormat="1" x14ac:dyDescent="0.3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S2760" s="31"/>
      <c r="T2760" s="31"/>
    </row>
    <row r="2761" spans="1:20" s="14" customFormat="1" x14ac:dyDescent="0.3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S2761" s="31"/>
      <c r="T2761" s="31"/>
    </row>
    <row r="2762" spans="1:20" s="14" customFormat="1" x14ac:dyDescent="0.3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S2762" s="31"/>
      <c r="T2762" s="31"/>
    </row>
    <row r="2763" spans="1:20" s="14" customFormat="1" x14ac:dyDescent="0.3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S2763" s="31"/>
      <c r="T2763" s="31"/>
    </row>
    <row r="2764" spans="1:20" s="14" customFormat="1" x14ac:dyDescent="0.3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S2764" s="31"/>
      <c r="T2764" s="31"/>
    </row>
    <row r="2765" spans="1:20" s="14" customFormat="1" x14ac:dyDescent="0.3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S2765" s="31"/>
      <c r="T2765" s="31"/>
    </row>
    <row r="2766" spans="1:20" s="14" customFormat="1" x14ac:dyDescent="0.3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S2766" s="31"/>
      <c r="T2766" s="31"/>
    </row>
    <row r="2767" spans="1:20" s="14" customFormat="1" x14ac:dyDescent="0.3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S2767" s="31"/>
      <c r="T2767" s="31"/>
    </row>
    <row r="2768" spans="1:20" s="14" customFormat="1" x14ac:dyDescent="0.3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S2768" s="31"/>
      <c r="T2768" s="31"/>
    </row>
    <row r="2769" spans="1:20" s="14" customFormat="1" x14ac:dyDescent="0.3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S2769" s="31"/>
      <c r="T2769" s="31"/>
    </row>
    <row r="2770" spans="1:20" s="14" customFormat="1" x14ac:dyDescent="0.3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S2770" s="31"/>
      <c r="T2770" s="31"/>
    </row>
    <row r="2771" spans="1:20" s="14" customFormat="1" x14ac:dyDescent="0.3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S2771" s="31"/>
      <c r="T2771" s="31"/>
    </row>
    <row r="2772" spans="1:20" s="14" customFormat="1" x14ac:dyDescent="0.3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S2772" s="31"/>
      <c r="T2772" s="31"/>
    </row>
    <row r="2773" spans="1:20" s="14" customFormat="1" x14ac:dyDescent="0.3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S2773" s="31"/>
      <c r="T2773" s="31"/>
    </row>
    <row r="2774" spans="1:20" s="14" customFormat="1" x14ac:dyDescent="0.3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S2774" s="31"/>
      <c r="T2774" s="31"/>
    </row>
    <row r="2775" spans="1:20" s="14" customFormat="1" x14ac:dyDescent="0.3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S2775" s="31"/>
      <c r="T2775" s="31"/>
    </row>
    <row r="2776" spans="1:20" s="14" customFormat="1" x14ac:dyDescent="0.3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S2776" s="31"/>
      <c r="T2776" s="31"/>
    </row>
    <row r="2777" spans="1:20" s="14" customFormat="1" x14ac:dyDescent="0.3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S2777" s="31"/>
      <c r="T2777" s="31"/>
    </row>
    <row r="2778" spans="1:20" s="14" customFormat="1" x14ac:dyDescent="0.3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S2778" s="31"/>
      <c r="T2778" s="31"/>
    </row>
    <row r="2779" spans="1:20" s="14" customFormat="1" x14ac:dyDescent="0.3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S2779" s="31"/>
      <c r="T2779" s="31"/>
    </row>
    <row r="2780" spans="1:20" s="14" customFormat="1" x14ac:dyDescent="0.3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S2780" s="31"/>
      <c r="T2780" s="31"/>
    </row>
    <row r="2781" spans="1:20" s="14" customFormat="1" x14ac:dyDescent="0.3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S2781" s="31"/>
      <c r="T2781" s="31"/>
    </row>
    <row r="2782" spans="1:20" s="14" customFormat="1" x14ac:dyDescent="0.3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S2782" s="31"/>
      <c r="T2782" s="31"/>
    </row>
    <row r="2783" spans="1:20" s="14" customFormat="1" x14ac:dyDescent="0.3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S2783" s="31"/>
      <c r="T2783" s="31"/>
    </row>
    <row r="2784" spans="1:20" s="14" customFormat="1" x14ac:dyDescent="0.3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S2784" s="31"/>
      <c r="T2784" s="31"/>
    </row>
    <row r="2785" spans="1:20" s="14" customFormat="1" x14ac:dyDescent="0.3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S2785" s="31"/>
      <c r="T2785" s="31"/>
    </row>
    <row r="2786" spans="1:20" s="14" customFormat="1" x14ac:dyDescent="0.3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S2786" s="31"/>
      <c r="T2786" s="31"/>
    </row>
    <row r="2787" spans="1:20" s="14" customFormat="1" x14ac:dyDescent="0.3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S2787" s="31"/>
      <c r="T2787" s="31"/>
    </row>
    <row r="2788" spans="1:20" s="14" customFormat="1" x14ac:dyDescent="0.3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S2788" s="31"/>
      <c r="T2788" s="31"/>
    </row>
    <row r="2789" spans="1:20" s="14" customFormat="1" x14ac:dyDescent="0.3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S2789" s="31"/>
      <c r="T2789" s="31"/>
    </row>
    <row r="2790" spans="1:20" s="14" customFormat="1" x14ac:dyDescent="0.3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S2790" s="31"/>
      <c r="T2790" s="31"/>
    </row>
    <row r="2791" spans="1:20" s="14" customFormat="1" x14ac:dyDescent="0.3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S2791" s="31"/>
      <c r="T2791" s="31"/>
    </row>
    <row r="2792" spans="1:20" s="14" customFormat="1" x14ac:dyDescent="0.3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S2792" s="31"/>
      <c r="T2792" s="31"/>
    </row>
    <row r="2793" spans="1:20" s="14" customFormat="1" x14ac:dyDescent="0.3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S2793" s="31"/>
      <c r="T2793" s="31"/>
    </row>
    <row r="2794" spans="1:20" s="14" customFormat="1" x14ac:dyDescent="0.3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S2794" s="31"/>
      <c r="T2794" s="31"/>
    </row>
    <row r="2795" spans="1:20" s="14" customFormat="1" x14ac:dyDescent="0.3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S2795" s="31"/>
      <c r="T2795" s="31"/>
    </row>
    <row r="2796" spans="1:20" s="14" customFormat="1" x14ac:dyDescent="0.3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S2796" s="31"/>
      <c r="T2796" s="31"/>
    </row>
    <row r="2797" spans="1:20" s="14" customFormat="1" x14ac:dyDescent="0.3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S2797" s="31"/>
      <c r="T2797" s="31"/>
    </row>
    <row r="2798" spans="1:20" s="14" customFormat="1" x14ac:dyDescent="0.3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S2798" s="31"/>
      <c r="T2798" s="31"/>
    </row>
    <row r="2799" spans="1:20" s="14" customFormat="1" x14ac:dyDescent="0.3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S2799" s="31"/>
      <c r="T2799" s="31"/>
    </row>
    <row r="2800" spans="1:20" s="14" customFormat="1" x14ac:dyDescent="0.3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S2800" s="31"/>
      <c r="T2800" s="31"/>
    </row>
    <row r="2801" spans="1:20" s="14" customFormat="1" x14ac:dyDescent="0.3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S2801" s="31"/>
      <c r="T2801" s="31"/>
    </row>
    <row r="2802" spans="1:20" s="14" customFormat="1" x14ac:dyDescent="0.3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S2802" s="31"/>
      <c r="T2802" s="31"/>
    </row>
    <row r="2803" spans="1:20" s="14" customFormat="1" x14ac:dyDescent="0.3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S2803" s="31"/>
      <c r="T2803" s="31"/>
    </row>
    <row r="2804" spans="1:20" s="14" customFormat="1" x14ac:dyDescent="0.3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S2804" s="31"/>
      <c r="T2804" s="31"/>
    </row>
    <row r="2805" spans="1:20" s="14" customFormat="1" x14ac:dyDescent="0.3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S2805" s="31"/>
      <c r="T2805" s="31"/>
    </row>
    <row r="2806" spans="1:20" s="14" customFormat="1" x14ac:dyDescent="0.3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S2806" s="31"/>
      <c r="T2806" s="31"/>
    </row>
    <row r="2807" spans="1:20" s="14" customFormat="1" x14ac:dyDescent="0.3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S2807" s="31"/>
      <c r="T2807" s="31"/>
    </row>
    <row r="2808" spans="1:20" s="14" customFormat="1" x14ac:dyDescent="0.3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S2808" s="31"/>
      <c r="T2808" s="31"/>
    </row>
    <row r="2809" spans="1:20" s="14" customFormat="1" x14ac:dyDescent="0.3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S2809" s="31"/>
      <c r="T2809" s="31"/>
    </row>
    <row r="2810" spans="1:20" s="14" customFormat="1" x14ac:dyDescent="0.3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S2810" s="31"/>
      <c r="T2810" s="31"/>
    </row>
    <row r="2811" spans="1:20" s="14" customFormat="1" x14ac:dyDescent="0.3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S2811" s="31"/>
      <c r="T2811" s="31"/>
    </row>
    <row r="2812" spans="1:20" s="14" customFormat="1" x14ac:dyDescent="0.3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S2812" s="31"/>
      <c r="T2812" s="31"/>
    </row>
    <row r="2813" spans="1:20" s="14" customFormat="1" x14ac:dyDescent="0.3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S2813" s="31"/>
      <c r="T2813" s="31"/>
    </row>
    <row r="2814" spans="1:20" s="14" customFormat="1" x14ac:dyDescent="0.3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S2814" s="31"/>
      <c r="T2814" s="31"/>
    </row>
    <row r="2815" spans="1:20" s="14" customFormat="1" x14ac:dyDescent="0.3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S2815" s="31"/>
      <c r="T2815" s="31"/>
    </row>
    <row r="2816" spans="1:20" s="14" customFormat="1" x14ac:dyDescent="0.3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S2816" s="31"/>
      <c r="T2816" s="31"/>
    </row>
    <row r="2817" spans="1:20" s="14" customFormat="1" x14ac:dyDescent="0.3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S2817" s="31"/>
      <c r="T2817" s="31"/>
    </row>
    <row r="2818" spans="1:20" s="14" customFormat="1" x14ac:dyDescent="0.3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S2818" s="31"/>
      <c r="T2818" s="31"/>
    </row>
    <row r="2819" spans="1:20" s="14" customFormat="1" x14ac:dyDescent="0.3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S2819" s="31"/>
      <c r="T2819" s="31"/>
    </row>
    <row r="2820" spans="1:20" s="14" customFormat="1" x14ac:dyDescent="0.3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S2820" s="31"/>
      <c r="T2820" s="31"/>
    </row>
    <row r="2821" spans="1:20" s="14" customFormat="1" x14ac:dyDescent="0.3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S2821" s="31"/>
      <c r="T2821" s="31"/>
    </row>
    <row r="2822" spans="1:20" s="14" customFormat="1" x14ac:dyDescent="0.3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S2822" s="31"/>
      <c r="T2822" s="31"/>
    </row>
    <row r="2823" spans="1:20" s="14" customFormat="1" x14ac:dyDescent="0.3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S2823" s="31"/>
      <c r="T2823" s="31"/>
    </row>
    <row r="2824" spans="1:20" s="14" customFormat="1" x14ac:dyDescent="0.3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S2824" s="31"/>
      <c r="T2824" s="31"/>
    </row>
    <row r="2825" spans="1:20" s="14" customFormat="1" x14ac:dyDescent="0.3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S2825" s="31"/>
      <c r="T2825" s="31"/>
    </row>
    <row r="2826" spans="1:20" s="14" customFormat="1" x14ac:dyDescent="0.3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S2826" s="31"/>
      <c r="T2826" s="31"/>
    </row>
    <row r="2827" spans="1:20" s="14" customFormat="1" x14ac:dyDescent="0.3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S2827" s="31"/>
      <c r="T2827" s="31"/>
    </row>
    <row r="2828" spans="1:20" s="14" customFormat="1" x14ac:dyDescent="0.3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S2828" s="31"/>
      <c r="T2828" s="31"/>
    </row>
    <row r="2829" spans="1:20" s="14" customFormat="1" x14ac:dyDescent="0.3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S2829" s="31"/>
      <c r="T2829" s="31"/>
    </row>
    <row r="2830" spans="1:20" s="14" customFormat="1" x14ac:dyDescent="0.3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S2830" s="31"/>
      <c r="T2830" s="31"/>
    </row>
    <row r="2831" spans="1:20" s="14" customFormat="1" x14ac:dyDescent="0.3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S2831" s="31"/>
      <c r="T2831" s="31"/>
    </row>
    <row r="2832" spans="1:20" s="14" customFormat="1" x14ac:dyDescent="0.3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S2832" s="31"/>
      <c r="T2832" s="31"/>
    </row>
    <row r="2833" spans="1:20" s="14" customFormat="1" x14ac:dyDescent="0.3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S2833" s="31"/>
      <c r="T2833" s="31"/>
    </row>
    <row r="2834" spans="1:20" s="14" customFormat="1" x14ac:dyDescent="0.3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S2834" s="31"/>
      <c r="T2834" s="31"/>
    </row>
    <row r="2835" spans="1:20" s="14" customFormat="1" x14ac:dyDescent="0.3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S2835" s="31"/>
      <c r="T2835" s="31"/>
    </row>
    <row r="2836" spans="1:20" s="14" customFormat="1" x14ac:dyDescent="0.3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S2836" s="31"/>
      <c r="T2836" s="31"/>
    </row>
    <row r="2837" spans="1:20" s="14" customFormat="1" x14ac:dyDescent="0.3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S2837" s="31"/>
      <c r="T2837" s="31"/>
    </row>
    <row r="2838" spans="1:20" s="14" customFormat="1" x14ac:dyDescent="0.3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S2838" s="31"/>
      <c r="T2838" s="31"/>
    </row>
    <row r="2839" spans="1:20" s="14" customFormat="1" x14ac:dyDescent="0.3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S2839" s="31"/>
      <c r="T2839" s="31"/>
    </row>
    <row r="2840" spans="1:20" s="14" customFormat="1" x14ac:dyDescent="0.3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S2840" s="31"/>
      <c r="T2840" s="31"/>
    </row>
    <row r="2841" spans="1:20" s="14" customFormat="1" x14ac:dyDescent="0.3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S2841" s="31"/>
      <c r="T2841" s="31"/>
    </row>
    <row r="2842" spans="1:20" s="14" customFormat="1" x14ac:dyDescent="0.3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S2842" s="31"/>
      <c r="T2842" s="31"/>
    </row>
    <row r="2843" spans="1:20" s="14" customFormat="1" x14ac:dyDescent="0.3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S2843" s="31"/>
      <c r="T2843" s="31"/>
    </row>
    <row r="2844" spans="1:20" s="14" customFormat="1" x14ac:dyDescent="0.3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S2844" s="31"/>
      <c r="T2844" s="31"/>
    </row>
    <row r="2845" spans="1:20" s="14" customFormat="1" x14ac:dyDescent="0.3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S2845" s="31"/>
      <c r="T2845" s="31"/>
    </row>
    <row r="2846" spans="1:20" s="14" customFormat="1" x14ac:dyDescent="0.3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S2846" s="31"/>
      <c r="T2846" s="31"/>
    </row>
    <row r="2847" spans="1:20" s="14" customFormat="1" x14ac:dyDescent="0.3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S2847" s="31"/>
      <c r="T2847" s="31"/>
    </row>
    <row r="2848" spans="1:20" s="14" customFormat="1" x14ac:dyDescent="0.3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S2848" s="31"/>
      <c r="T2848" s="31"/>
    </row>
    <row r="2849" spans="1:20" s="14" customFormat="1" x14ac:dyDescent="0.3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S2849" s="31"/>
      <c r="T2849" s="31"/>
    </row>
    <row r="2850" spans="1:20" s="14" customFormat="1" x14ac:dyDescent="0.3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S2850" s="31"/>
      <c r="T2850" s="31"/>
    </row>
    <row r="2851" spans="1:20" s="14" customFormat="1" x14ac:dyDescent="0.3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S2851" s="31"/>
      <c r="T2851" s="31"/>
    </row>
    <row r="2852" spans="1:20" s="14" customFormat="1" x14ac:dyDescent="0.3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S2852" s="31"/>
      <c r="T2852" s="31"/>
    </row>
    <row r="2853" spans="1:20" s="14" customFormat="1" x14ac:dyDescent="0.3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S2853" s="31"/>
      <c r="T2853" s="31"/>
    </row>
    <row r="2854" spans="1:20" s="14" customFormat="1" x14ac:dyDescent="0.3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S2854" s="31"/>
      <c r="T2854" s="31"/>
    </row>
    <row r="2855" spans="1:20" s="14" customFormat="1" x14ac:dyDescent="0.3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S2855" s="31"/>
      <c r="T2855" s="31"/>
    </row>
    <row r="2856" spans="1:20" s="14" customFormat="1" x14ac:dyDescent="0.3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S2856" s="31"/>
      <c r="T2856" s="31"/>
    </row>
    <row r="2857" spans="1:20" s="14" customFormat="1" x14ac:dyDescent="0.3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S2857" s="31"/>
      <c r="T2857" s="31"/>
    </row>
    <row r="2858" spans="1:20" s="14" customFormat="1" x14ac:dyDescent="0.3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S2858" s="31"/>
      <c r="T2858" s="31"/>
    </row>
    <row r="2859" spans="1:20" s="14" customFormat="1" x14ac:dyDescent="0.3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S2859" s="31"/>
      <c r="T2859" s="31"/>
    </row>
    <row r="2860" spans="1:20" s="14" customFormat="1" x14ac:dyDescent="0.3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S2860" s="31"/>
      <c r="T2860" s="31"/>
    </row>
    <row r="2861" spans="1:20" s="14" customFormat="1" x14ac:dyDescent="0.3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S2861" s="31"/>
      <c r="T2861" s="31"/>
    </row>
    <row r="2862" spans="1:20" s="14" customFormat="1" x14ac:dyDescent="0.3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S2862" s="31"/>
      <c r="T2862" s="31"/>
    </row>
    <row r="2863" spans="1:20" s="14" customFormat="1" x14ac:dyDescent="0.3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S2863" s="31"/>
      <c r="T2863" s="31"/>
    </row>
    <row r="2864" spans="1:20" s="14" customFormat="1" x14ac:dyDescent="0.3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S2864" s="31"/>
      <c r="T2864" s="31"/>
    </row>
    <row r="2865" spans="1:20" s="14" customFormat="1" x14ac:dyDescent="0.3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S2865" s="31"/>
      <c r="T2865" s="31"/>
    </row>
    <row r="2866" spans="1:20" s="14" customFormat="1" x14ac:dyDescent="0.3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S2866" s="31"/>
      <c r="T2866" s="31"/>
    </row>
    <row r="2867" spans="1:20" s="14" customFormat="1" x14ac:dyDescent="0.3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S2867" s="31"/>
      <c r="T2867" s="31"/>
    </row>
    <row r="2868" spans="1:20" s="14" customFormat="1" x14ac:dyDescent="0.3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S2868" s="31"/>
      <c r="T2868" s="31"/>
    </row>
    <row r="2869" spans="1:20" s="14" customFormat="1" x14ac:dyDescent="0.3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S2869" s="31"/>
      <c r="T2869" s="31"/>
    </row>
    <row r="2870" spans="1:20" s="14" customFormat="1" x14ac:dyDescent="0.3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S2870" s="31"/>
      <c r="T2870" s="31"/>
    </row>
    <row r="2871" spans="1:20" s="14" customFormat="1" x14ac:dyDescent="0.3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S2871" s="31"/>
      <c r="T2871" s="31"/>
    </row>
    <row r="2872" spans="1:20" s="14" customFormat="1" x14ac:dyDescent="0.3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S2872" s="31"/>
      <c r="T2872" s="31"/>
    </row>
    <row r="2873" spans="1:20" s="14" customFormat="1" x14ac:dyDescent="0.3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S2873" s="31"/>
      <c r="T2873" s="31"/>
    </row>
    <row r="2874" spans="1:20" s="14" customFormat="1" x14ac:dyDescent="0.3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S2874" s="31"/>
      <c r="T2874" s="31"/>
    </row>
    <row r="2875" spans="1:20" s="14" customFormat="1" x14ac:dyDescent="0.3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S2875" s="31"/>
      <c r="T2875" s="31"/>
    </row>
    <row r="2876" spans="1:20" s="14" customFormat="1" x14ac:dyDescent="0.3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S2876" s="31"/>
      <c r="T2876" s="31"/>
    </row>
    <row r="2877" spans="1:20" s="14" customFormat="1" x14ac:dyDescent="0.3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S2877" s="31"/>
      <c r="T2877" s="31"/>
    </row>
    <row r="2878" spans="1:20" s="14" customFormat="1" x14ac:dyDescent="0.3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S2878" s="31"/>
      <c r="T2878" s="31"/>
    </row>
    <row r="2879" spans="1:20" s="14" customFormat="1" x14ac:dyDescent="0.3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S2879" s="31"/>
      <c r="T2879" s="31"/>
    </row>
    <row r="2880" spans="1:20" s="14" customFormat="1" x14ac:dyDescent="0.3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S2880" s="31"/>
      <c r="T2880" s="31"/>
    </row>
    <row r="2881" spans="1:20" s="14" customFormat="1" x14ac:dyDescent="0.3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S2881" s="31"/>
      <c r="T2881" s="31"/>
    </row>
    <row r="2882" spans="1:20" s="14" customFormat="1" x14ac:dyDescent="0.3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S2882" s="31"/>
      <c r="T2882" s="31"/>
    </row>
    <row r="2883" spans="1:20" s="14" customFormat="1" x14ac:dyDescent="0.3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S2883" s="31"/>
      <c r="T2883" s="31"/>
    </row>
    <row r="2884" spans="1:20" s="14" customFormat="1" x14ac:dyDescent="0.3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S2884" s="31"/>
      <c r="T2884" s="31"/>
    </row>
    <row r="2885" spans="1:20" s="14" customFormat="1" x14ac:dyDescent="0.3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S2885" s="31"/>
      <c r="T2885" s="31"/>
    </row>
    <row r="2886" spans="1:20" s="14" customFormat="1" x14ac:dyDescent="0.3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S2886" s="31"/>
      <c r="T2886" s="31"/>
    </row>
    <row r="2887" spans="1:20" s="14" customFormat="1" x14ac:dyDescent="0.3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S2887" s="31"/>
      <c r="T2887" s="31"/>
    </row>
    <row r="2888" spans="1:20" s="14" customFormat="1" x14ac:dyDescent="0.3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S2888" s="31"/>
      <c r="T2888" s="31"/>
    </row>
    <row r="2889" spans="1:20" s="14" customFormat="1" x14ac:dyDescent="0.3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S2889" s="31"/>
      <c r="T2889" s="31"/>
    </row>
    <row r="2890" spans="1:20" s="14" customFormat="1" x14ac:dyDescent="0.3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S2890" s="31"/>
      <c r="T2890" s="31"/>
    </row>
    <row r="2891" spans="1:20" s="14" customFormat="1" x14ac:dyDescent="0.3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S2891" s="31"/>
      <c r="T2891" s="31"/>
    </row>
    <row r="2892" spans="1:20" s="14" customFormat="1" x14ac:dyDescent="0.3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S2892" s="31"/>
      <c r="T2892" s="31"/>
    </row>
    <row r="2893" spans="1:20" s="14" customFormat="1" x14ac:dyDescent="0.3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S2893" s="31"/>
      <c r="T2893" s="31"/>
    </row>
    <row r="2894" spans="1:20" s="14" customFormat="1" x14ac:dyDescent="0.3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S2894" s="31"/>
      <c r="T2894" s="31"/>
    </row>
    <row r="2895" spans="1:20" s="14" customFormat="1" x14ac:dyDescent="0.3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S2895" s="31"/>
      <c r="T2895" s="31"/>
    </row>
    <row r="2896" spans="1:20" s="14" customFormat="1" x14ac:dyDescent="0.3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S2896" s="31"/>
      <c r="T2896" s="31"/>
    </row>
    <row r="2897" spans="1:20" s="14" customFormat="1" x14ac:dyDescent="0.3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S2897" s="31"/>
      <c r="T2897" s="31"/>
    </row>
    <row r="2898" spans="1:20" s="14" customFormat="1" x14ac:dyDescent="0.3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S2898" s="31"/>
      <c r="T2898" s="31"/>
    </row>
    <row r="2899" spans="1:20" s="14" customFormat="1" x14ac:dyDescent="0.3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S2899" s="31"/>
      <c r="T2899" s="31"/>
    </row>
    <row r="2900" spans="1:20" s="14" customFormat="1" x14ac:dyDescent="0.3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S2900" s="31"/>
      <c r="T2900" s="31"/>
    </row>
    <row r="2901" spans="1:20" s="14" customFormat="1" x14ac:dyDescent="0.3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S2901" s="31"/>
      <c r="T2901" s="31"/>
    </row>
    <row r="2902" spans="1:20" s="14" customFormat="1" x14ac:dyDescent="0.3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S2902" s="31"/>
      <c r="T2902" s="31"/>
    </row>
    <row r="2903" spans="1:20" s="14" customFormat="1" x14ac:dyDescent="0.3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S2903" s="31"/>
      <c r="T2903" s="31"/>
    </row>
    <row r="2904" spans="1:20" s="14" customFormat="1" x14ac:dyDescent="0.3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S2904" s="31"/>
      <c r="T2904" s="31"/>
    </row>
    <row r="2905" spans="1:20" s="14" customFormat="1" x14ac:dyDescent="0.3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S2905" s="31"/>
      <c r="T2905" s="31"/>
    </row>
    <row r="2906" spans="1:20" s="14" customFormat="1" x14ac:dyDescent="0.3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S2906" s="31"/>
      <c r="T2906" s="31"/>
    </row>
    <row r="2907" spans="1:20" s="14" customFormat="1" x14ac:dyDescent="0.3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S2907" s="31"/>
      <c r="T2907" s="31"/>
    </row>
    <row r="2908" spans="1:20" s="14" customFormat="1" x14ac:dyDescent="0.3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S2908" s="31"/>
      <c r="T2908" s="31"/>
    </row>
    <row r="2909" spans="1:20" s="14" customFormat="1" x14ac:dyDescent="0.3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S2909" s="31"/>
      <c r="T2909" s="31"/>
    </row>
    <row r="2910" spans="1:20" s="14" customFormat="1" x14ac:dyDescent="0.3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S2910" s="31"/>
      <c r="T2910" s="31"/>
    </row>
    <row r="2911" spans="1:20" s="14" customFormat="1" x14ac:dyDescent="0.3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S2911" s="31"/>
      <c r="T2911" s="31"/>
    </row>
    <row r="2912" spans="1:20" s="14" customFormat="1" x14ac:dyDescent="0.3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S2912" s="31"/>
      <c r="T2912" s="31"/>
    </row>
    <row r="2913" spans="1:20" s="14" customFormat="1" x14ac:dyDescent="0.3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S2913" s="31"/>
      <c r="T2913" s="31"/>
    </row>
    <row r="2914" spans="1:20" s="14" customFormat="1" x14ac:dyDescent="0.3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S2914" s="31"/>
      <c r="T2914" s="31"/>
    </row>
    <row r="2915" spans="1:20" s="14" customFormat="1" x14ac:dyDescent="0.3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S2915" s="31"/>
      <c r="T2915" s="31"/>
    </row>
    <row r="2916" spans="1:20" s="14" customFormat="1" x14ac:dyDescent="0.3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S2916" s="31"/>
      <c r="T2916" s="31"/>
    </row>
    <row r="2917" spans="1:20" s="14" customFormat="1" x14ac:dyDescent="0.3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S2917" s="31"/>
      <c r="T2917" s="31"/>
    </row>
    <row r="2918" spans="1:20" s="14" customFormat="1" x14ac:dyDescent="0.3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S2918" s="31"/>
      <c r="T2918" s="31"/>
    </row>
    <row r="2919" spans="1:20" s="14" customFormat="1" x14ac:dyDescent="0.3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S2919" s="31"/>
      <c r="T2919" s="31"/>
    </row>
    <row r="2920" spans="1:20" s="14" customFormat="1" x14ac:dyDescent="0.3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S2920" s="31"/>
      <c r="T2920" s="31"/>
    </row>
    <row r="2921" spans="1:20" s="14" customFormat="1" x14ac:dyDescent="0.3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S2921" s="31"/>
      <c r="T2921" s="31"/>
    </row>
    <row r="2922" spans="1:20" s="14" customFormat="1" x14ac:dyDescent="0.3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S2922" s="31"/>
      <c r="T2922" s="31"/>
    </row>
    <row r="2923" spans="1:20" s="14" customFormat="1" x14ac:dyDescent="0.3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S2923" s="31"/>
      <c r="T2923" s="31"/>
    </row>
    <row r="2924" spans="1:20" s="14" customFormat="1" x14ac:dyDescent="0.3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S2924" s="31"/>
      <c r="T2924" s="31"/>
    </row>
    <row r="2925" spans="1:20" s="14" customFormat="1" x14ac:dyDescent="0.3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S2925" s="31"/>
      <c r="T2925" s="31"/>
    </row>
    <row r="2926" spans="1:20" s="14" customFormat="1" x14ac:dyDescent="0.3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S2926" s="31"/>
      <c r="T2926" s="31"/>
    </row>
    <row r="2927" spans="1:20" s="14" customFormat="1" x14ac:dyDescent="0.3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S2927" s="31"/>
      <c r="T2927" s="31"/>
    </row>
    <row r="2928" spans="1:20" s="14" customFormat="1" x14ac:dyDescent="0.3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S2928" s="31"/>
      <c r="T2928" s="31"/>
    </row>
    <row r="2929" spans="1:20" s="14" customFormat="1" x14ac:dyDescent="0.3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S2929" s="31"/>
      <c r="T2929" s="31"/>
    </row>
    <row r="2930" spans="1:20" s="14" customFormat="1" x14ac:dyDescent="0.3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S2930" s="31"/>
      <c r="T2930" s="31"/>
    </row>
    <row r="2931" spans="1:20" s="14" customFormat="1" x14ac:dyDescent="0.3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S2931" s="31"/>
      <c r="T2931" s="31"/>
    </row>
    <row r="2932" spans="1:20" s="14" customFormat="1" x14ac:dyDescent="0.3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S2932" s="31"/>
      <c r="T2932" s="31"/>
    </row>
    <row r="2933" spans="1:20" s="14" customFormat="1" x14ac:dyDescent="0.3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S2933" s="31"/>
      <c r="T2933" s="31"/>
    </row>
    <row r="2934" spans="1:20" s="14" customFormat="1" x14ac:dyDescent="0.3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S2934" s="31"/>
      <c r="T2934" s="31"/>
    </row>
    <row r="2935" spans="1:20" s="14" customFormat="1" x14ac:dyDescent="0.3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S2935" s="31"/>
      <c r="T2935" s="31"/>
    </row>
    <row r="2936" spans="1:20" s="14" customFormat="1" x14ac:dyDescent="0.3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S2936" s="31"/>
      <c r="T2936" s="31"/>
    </row>
    <row r="2937" spans="1:20" s="14" customFormat="1" x14ac:dyDescent="0.3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S2937" s="31"/>
      <c r="T2937" s="31"/>
    </row>
    <row r="2938" spans="1:20" s="14" customFormat="1" x14ac:dyDescent="0.3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S2938" s="31"/>
      <c r="T2938" s="31"/>
    </row>
    <row r="2939" spans="1:20" s="14" customFormat="1" x14ac:dyDescent="0.3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S2939" s="31"/>
      <c r="T2939" s="31"/>
    </row>
    <row r="2940" spans="1:20" s="14" customFormat="1" x14ac:dyDescent="0.3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S2940" s="31"/>
      <c r="T2940" s="31"/>
    </row>
    <row r="2941" spans="1:20" s="14" customFormat="1" x14ac:dyDescent="0.3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S2941" s="31"/>
      <c r="T2941" s="31"/>
    </row>
    <row r="2942" spans="1:20" s="14" customFormat="1" x14ac:dyDescent="0.3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S2942" s="31"/>
      <c r="T2942" s="31"/>
    </row>
    <row r="2943" spans="1:20" s="14" customFormat="1" x14ac:dyDescent="0.3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S2943" s="31"/>
      <c r="T2943" s="31"/>
    </row>
    <row r="2944" spans="1:20" s="14" customFormat="1" x14ac:dyDescent="0.3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S2944" s="31"/>
      <c r="T2944" s="31"/>
    </row>
    <row r="2945" spans="1:20" s="14" customFormat="1" x14ac:dyDescent="0.3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S2945" s="31"/>
      <c r="T2945" s="31"/>
    </row>
    <row r="2946" spans="1:20" s="14" customFormat="1" x14ac:dyDescent="0.3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S2946" s="31"/>
      <c r="T2946" s="31"/>
    </row>
    <row r="2947" spans="1:20" s="14" customFormat="1" x14ac:dyDescent="0.3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S2947" s="31"/>
      <c r="T2947" s="31"/>
    </row>
    <row r="2948" spans="1:20" s="14" customFormat="1" x14ac:dyDescent="0.3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S2948" s="31"/>
      <c r="T2948" s="31"/>
    </row>
    <row r="2949" spans="1:20" s="14" customFormat="1" x14ac:dyDescent="0.3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S2949" s="31"/>
      <c r="T2949" s="31"/>
    </row>
    <row r="2950" spans="1:20" s="14" customFormat="1" x14ac:dyDescent="0.3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S2950" s="31"/>
      <c r="T2950" s="31"/>
    </row>
    <row r="2951" spans="1:20" s="14" customFormat="1" x14ac:dyDescent="0.3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S2951" s="31"/>
      <c r="T2951" s="31"/>
    </row>
    <row r="2952" spans="1:20" s="14" customFormat="1" x14ac:dyDescent="0.3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S2952" s="31"/>
      <c r="T2952" s="31"/>
    </row>
    <row r="2953" spans="1:20" s="14" customFormat="1" x14ac:dyDescent="0.3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S2953" s="31"/>
      <c r="T2953" s="31"/>
    </row>
    <row r="2954" spans="1:20" s="14" customFormat="1" x14ac:dyDescent="0.3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S2954" s="31"/>
      <c r="T2954" s="31"/>
    </row>
    <row r="2955" spans="1:20" s="14" customFormat="1" x14ac:dyDescent="0.3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S2955" s="31"/>
      <c r="T2955" s="31"/>
    </row>
    <row r="2956" spans="1:20" s="14" customFormat="1" x14ac:dyDescent="0.3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S2956" s="31"/>
      <c r="T2956" s="31"/>
    </row>
    <row r="2957" spans="1:20" s="14" customFormat="1" x14ac:dyDescent="0.3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S2957" s="31"/>
      <c r="T2957" s="31"/>
    </row>
    <row r="2958" spans="1:20" s="14" customFormat="1" x14ac:dyDescent="0.3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S2958" s="31"/>
      <c r="T2958" s="31"/>
    </row>
    <row r="2959" spans="1:20" s="14" customFormat="1" x14ac:dyDescent="0.3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S2959" s="31"/>
      <c r="T2959" s="31"/>
    </row>
    <row r="2960" spans="1:20" s="14" customFormat="1" x14ac:dyDescent="0.3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S2960" s="31"/>
      <c r="T2960" s="31"/>
    </row>
    <row r="2961" spans="1:20" s="14" customFormat="1" x14ac:dyDescent="0.3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S2961" s="31"/>
      <c r="T2961" s="31"/>
    </row>
    <row r="2962" spans="1:20" s="14" customFormat="1" x14ac:dyDescent="0.3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S2962" s="31"/>
      <c r="T2962" s="31"/>
    </row>
    <row r="2963" spans="1:20" s="14" customFormat="1" x14ac:dyDescent="0.3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S2963" s="31"/>
      <c r="T2963" s="31"/>
    </row>
    <row r="2964" spans="1:20" s="14" customFormat="1" x14ac:dyDescent="0.3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S2964" s="31"/>
      <c r="T2964" s="31"/>
    </row>
    <row r="2965" spans="1:20" s="14" customFormat="1" x14ac:dyDescent="0.3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S2965" s="31"/>
      <c r="T2965" s="31"/>
    </row>
    <row r="2966" spans="1:20" s="14" customFormat="1" x14ac:dyDescent="0.3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S2966" s="31"/>
      <c r="T2966" s="31"/>
    </row>
    <row r="2967" spans="1:20" s="14" customFormat="1" x14ac:dyDescent="0.3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S2967" s="31"/>
      <c r="T2967" s="31"/>
    </row>
    <row r="2968" spans="1:20" s="14" customFormat="1" x14ac:dyDescent="0.3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S2968" s="31"/>
      <c r="T2968" s="31"/>
    </row>
    <row r="2969" spans="1:20" s="14" customFormat="1" x14ac:dyDescent="0.3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S2969" s="31"/>
      <c r="T2969" s="31"/>
    </row>
    <row r="2970" spans="1:20" s="14" customFormat="1" x14ac:dyDescent="0.3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S2970" s="31"/>
      <c r="T2970" s="31"/>
    </row>
    <row r="2971" spans="1:20" s="14" customFormat="1" x14ac:dyDescent="0.3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S2971" s="31"/>
      <c r="T2971" s="31"/>
    </row>
    <row r="2972" spans="1:20" s="14" customFormat="1" x14ac:dyDescent="0.3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S2972" s="31"/>
      <c r="T2972" s="31"/>
    </row>
    <row r="2973" spans="1:20" s="14" customFormat="1" x14ac:dyDescent="0.3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S2973" s="31"/>
      <c r="T2973" s="31"/>
    </row>
    <row r="2974" spans="1:20" s="14" customFormat="1" x14ac:dyDescent="0.3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S2974" s="31"/>
      <c r="T2974" s="31"/>
    </row>
    <row r="2975" spans="1:20" s="14" customFormat="1" x14ac:dyDescent="0.3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S2975" s="31"/>
      <c r="T2975" s="31"/>
    </row>
    <row r="2976" spans="1:20" s="14" customFormat="1" x14ac:dyDescent="0.3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S2976" s="31"/>
      <c r="T2976" s="31"/>
    </row>
    <row r="2977" spans="1:20" s="14" customFormat="1" x14ac:dyDescent="0.3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S2977" s="31"/>
      <c r="T2977" s="31"/>
    </row>
    <row r="2978" spans="1:20" s="14" customFormat="1" x14ac:dyDescent="0.3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S2978" s="31"/>
      <c r="T2978" s="31"/>
    </row>
    <row r="2979" spans="1:20" s="14" customFormat="1" x14ac:dyDescent="0.3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S2979" s="31"/>
      <c r="T2979" s="31"/>
    </row>
    <row r="2980" spans="1:20" s="14" customFormat="1" x14ac:dyDescent="0.3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S2980" s="31"/>
      <c r="T2980" s="31"/>
    </row>
    <row r="2981" spans="1:20" s="14" customFormat="1" x14ac:dyDescent="0.3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S2981" s="31"/>
      <c r="T2981" s="31"/>
    </row>
    <row r="2982" spans="1:20" s="14" customFormat="1" x14ac:dyDescent="0.3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S2982" s="31"/>
      <c r="T2982" s="31"/>
    </row>
    <row r="2983" spans="1:20" s="14" customFormat="1" x14ac:dyDescent="0.3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S2983" s="31"/>
      <c r="T2983" s="31"/>
    </row>
    <row r="2984" spans="1:20" s="14" customFormat="1" x14ac:dyDescent="0.3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S2984" s="31"/>
      <c r="T2984" s="31"/>
    </row>
    <row r="2985" spans="1:20" s="14" customFormat="1" x14ac:dyDescent="0.3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S2985" s="31"/>
      <c r="T2985" s="31"/>
    </row>
    <row r="2986" spans="1:20" s="14" customFormat="1" x14ac:dyDescent="0.3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S2986" s="31"/>
      <c r="T2986" s="31"/>
    </row>
    <row r="2987" spans="1:20" s="14" customFormat="1" x14ac:dyDescent="0.3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S2987" s="31"/>
      <c r="T2987" s="31"/>
    </row>
    <row r="2988" spans="1:20" s="14" customFormat="1" x14ac:dyDescent="0.3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S2988" s="31"/>
      <c r="T2988" s="31"/>
    </row>
    <row r="2989" spans="1:20" s="14" customFormat="1" x14ac:dyDescent="0.3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S2989" s="31"/>
      <c r="T2989" s="31"/>
    </row>
    <row r="2990" spans="1:20" s="14" customFormat="1" x14ac:dyDescent="0.3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S2990" s="31"/>
      <c r="T2990" s="31"/>
    </row>
    <row r="2991" spans="1:20" s="14" customFormat="1" x14ac:dyDescent="0.3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S2991" s="31"/>
      <c r="T2991" s="31"/>
    </row>
    <row r="2992" spans="1:20" s="14" customFormat="1" x14ac:dyDescent="0.3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S2992" s="31"/>
      <c r="T2992" s="31"/>
    </row>
    <row r="2993" spans="1:20" s="14" customFormat="1" x14ac:dyDescent="0.3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S2993" s="31"/>
      <c r="T2993" s="31"/>
    </row>
    <row r="2994" spans="1:20" s="14" customFormat="1" x14ac:dyDescent="0.3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S2994" s="31"/>
      <c r="T2994" s="31"/>
    </row>
    <row r="2995" spans="1:20" s="14" customFormat="1" x14ac:dyDescent="0.3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S2995" s="31"/>
      <c r="T2995" s="31"/>
    </row>
    <row r="2996" spans="1:20" s="14" customFormat="1" x14ac:dyDescent="0.3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S2996" s="31"/>
      <c r="T2996" s="31"/>
    </row>
    <row r="2997" spans="1:20" s="14" customFormat="1" x14ac:dyDescent="0.3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S2997" s="31"/>
      <c r="T2997" s="31"/>
    </row>
    <row r="2998" spans="1:20" s="14" customFormat="1" x14ac:dyDescent="0.3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S2998" s="31"/>
      <c r="T2998" s="31"/>
    </row>
    <row r="2999" spans="1:20" s="14" customFormat="1" x14ac:dyDescent="0.3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S2999" s="31"/>
      <c r="T2999" s="31"/>
    </row>
    <row r="3000" spans="1:20" s="14" customFormat="1" x14ac:dyDescent="0.3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S3000" s="31"/>
      <c r="T3000" s="31"/>
    </row>
    <row r="3001" spans="1:20" s="14" customFormat="1" x14ac:dyDescent="0.3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S3001" s="31"/>
      <c r="T3001" s="31"/>
    </row>
    <row r="3002" spans="1:20" s="14" customFormat="1" x14ac:dyDescent="0.3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S3002" s="31"/>
      <c r="T3002" s="31"/>
    </row>
    <row r="3003" spans="1:20" s="14" customFormat="1" x14ac:dyDescent="0.3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S3003" s="31"/>
      <c r="T3003" s="31"/>
    </row>
    <row r="3004" spans="1:20" s="14" customFormat="1" x14ac:dyDescent="0.3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S3004" s="31"/>
      <c r="T3004" s="31"/>
    </row>
    <row r="3005" spans="1:20" s="14" customFormat="1" x14ac:dyDescent="0.3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S3005" s="31"/>
      <c r="T3005" s="31"/>
    </row>
    <row r="3006" spans="1:20" s="14" customFormat="1" x14ac:dyDescent="0.3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S3006" s="31"/>
      <c r="T3006" s="31"/>
    </row>
    <row r="3007" spans="1:20" s="14" customFormat="1" x14ac:dyDescent="0.3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S3007" s="31"/>
      <c r="T3007" s="31"/>
    </row>
    <row r="3008" spans="1:20" s="14" customFormat="1" x14ac:dyDescent="0.3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S3008" s="31"/>
      <c r="T3008" s="31"/>
    </row>
    <row r="3009" spans="1:20" s="14" customFormat="1" x14ac:dyDescent="0.3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S3009" s="31"/>
      <c r="T3009" s="31"/>
    </row>
    <row r="3010" spans="1:20" s="14" customFormat="1" x14ac:dyDescent="0.3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S3010" s="31"/>
      <c r="T3010" s="31"/>
    </row>
    <row r="3011" spans="1:20" s="14" customFormat="1" x14ac:dyDescent="0.3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S3011" s="31"/>
      <c r="T3011" s="31"/>
    </row>
    <row r="3012" spans="1:20" s="14" customFormat="1" x14ac:dyDescent="0.3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S3012" s="31"/>
      <c r="T3012" s="31"/>
    </row>
    <row r="3013" spans="1:20" s="14" customFormat="1" x14ac:dyDescent="0.3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S3013" s="31"/>
      <c r="T3013" s="31"/>
    </row>
    <row r="3014" spans="1:20" s="14" customFormat="1" x14ac:dyDescent="0.3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S3014" s="31"/>
      <c r="T3014" s="31"/>
    </row>
    <row r="3015" spans="1:20" s="14" customFormat="1" x14ac:dyDescent="0.3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S3015" s="31"/>
      <c r="T3015" s="31"/>
    </row>
    <row r="3016" spans="1:20" s="14" customFormat="1" x14ac:dyDescent="0.3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S3016" s="31"/>
      <c r="T3016" s="31"/>
    </row>
    <row r="3017" spans="1:20" s="14" customFormat="1" x14ac:dyDescent="0.3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S3017" s="31"/>
      <c r="T3017" s="31"/>
    </row>
    <row r="3018" spans="1:20" s="14" customFormat="1" x14ac:dyDescent="0.3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S3018" s="31"/>
      <c r="T3018" s="31"/>
    </row>
    <row r="3019" spans="1:20" s="14" customFormat="1" x14ac:dyDescent="0.3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S3019" s="31"/>
      <c r="T3019" s="31"/>
    </row>
    <row r="3020" spans="1:20" s="14" customFormat="1" x14ac:dyDescent="0.3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S3020" s="31"/>
      <c r="T3020" s="31"/>
    </row>
    <row r="3021" spans="1:20" s="14" customFormat="1" x14ac:dyDescent="0.3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S3021" s="31"/>
      <c r="T3021" s="31"/>
    </row>
    <row r="3022" spans="1:20" s="14" customFormat="1" x14ac:dyDescent="0.3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S3022" s="31"/>
      <c r="T3022" s="31"/>
    </row>
    <row r="3023" spans="1:20" s="14" customFormat="1" x14ac:dyDescent="0.3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S3023" s="31"/>
      <c r="T3023" s="31"/>
    </row>
    <row r="3024" spans="1:20" s="14" customFormat="1" x14ac:dyDescent="0.3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S3024" s="31"/>
      <c r="T3024" s="31"/>
    </row>
    <row r="3025" spans="1:20" s="14" customFormat="1" x14ac:dyDescent="0.3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S3025" s="31"/>
      <c r="T3025" s="31"/>
    </row>
    <row r="3026" spans="1:20" s="14" customFormat="1" x14ac:dyDescent="0.3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S3026" s="31"/>
      <c r="T3026" s="31"/>
    </row>
    <row r="3027" spans="1:20" s="14" customFormat="1" x14ac:dyDescent="0.3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S3027" s="31"/>
      <c r="T3027" s="31"/>
    </row>
    <row r="3028" spans="1:20" s="14" customFormat="1" x14ac:dyDescent="0.3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S3028" s="31"/>
      <c r="T3028" s="31"/>
    </row>
    <row r="3029" spans="1:20" s="14" customFormat="1" x14ac:dyDescent="0.3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S3029" s="31"/>
      <c r="T3029" s="31"/>
    </row>
    <row r="3030" spans="1:20" s="14" customFormat="1" x14ac:dyDescent="0.3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S3030" s="31"/>
      <c r="T3030" s="31"/>
    </row>
    <row r="3031" spans="1:20" s="14" customFormat="1" x14ac:dyDescent="0.3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S3031" s="31"/>
      <c r="T3031" s="31"/>
    </row>
    <row r="3032" spans="1:20" s="14" customFormat="1" x14ac:dyDescent="0.3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S3032" s="31"/>
      <c r="T3032" s="31"/>
    </row>
    <row r="3033" spans="1:20" s="14" customFormat="1" x14ac:dyDescent="0.3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S3033" s="31"/>
      <c r="T3033" s="31"/>
    </row>
    <row r="3034" spans="1:20" s="14" customFormat="1" x14ac:dyDescent="0.3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S3034" s="31"/>
      <c r="T3034" s="31"/>
    </row>
    <row r="3035" spans="1:20" s="14" customFormat="1" x14ac:dyDescent="0.3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S3035" s="31"/>
      <c r="T3035" s="31"/>
    </row>
    <row r="3036" spans="1:20" s="14" customFormat="1" x14ac:dyDescent="0.3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S3036" s="31"/>
      <c r="T3036" s="31"/>
    </row>
    <row r="3037" spans="1:20" s="14" customFormat="1" x14ac:dyDescent="0.3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S3037" s="31"/>
      <c r="T3037" s="31"/>
    </row>
    <row r="3038" spans="1:20" s="14" customFormat="1" x14ac:dyDescent="0.3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S3038" s="31"/>
      <c r="T3038" s="31"/>
    </row>
    <row r="3039" spans="1:20" s="14" customFormat="1" x14ac:dyDescent="0.3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S3039" s="31"/>
      <c r="T3039" s="31"/>
    </row>
    <row r="3040" spans="1:20" s="14" customFormat="1" x14ac:dyDescent="0.3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S3040" s="31"/>
      <c r="T3040" s="31"/>
    </row>
    <row r="3041" spans="1:20" s="14" customFormat="1" x14ac:dyDescent="0.3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S3041" s="31"/>
      <c r="T3041" s="31"/>
    </row>
    <row r="3042" spans="1:20" s="14" customFormat="1" x14ac:dyDescent="0.3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S3042" s="31"/>
      <c r="T3042" s="31"/>
    </row>
    <row r="3043" spans="1:20" s="14" customFormat="1" x14ac:dyDescent="0.3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S3043" s="31"/>
      <c r="T3043" s="31"/>
    </row>
    <row r="3044" spans="1:20" s="14" customFormat="1" x14ac:dyDescent="0.3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S3044" s="31"/>
      <c r="T3044" s="31"/>
    </row>
    <row r="3045" spans="1:20" s="14" customFormat="1" x14ac:dyDescent="0.3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S3045" s="31"/>
      <c r="T3045" s="31"/>
    </row>
    <row r="3046" spans="1:20" s="14" customFormat="1" x14ac:dyDescent="0.3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S3046" s="31"/>
      <c r="T3046" s="31"/>
    </row>
    <row r="3047" spans="1:20" s="14" customFormat="1" x14ac:dyDescent="0.3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S3047" s="31"/>
      <c r="T3047" s="31"/>
    </row>
    <row r="3048" spans="1:20" s="14" customFormat="1" x14ac:dyDescent="0.3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S3048" s="31"/>
      <c r="T3048" s="31"/>
    </row>
    <row r="3049" spans="1:20" s="14" customFormat="1" x14ac:dyDescent="0.3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S3049" s="31"/>
      <c r="T3049" s="31"/>
    </row>
    <row r="3050" spans="1:20" s="14" customFormat="1" x14ac:dyDescent="0.3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S3050" s="31"/>
      <c r="T3050" s="31"/>
    </row>
    <row r="3051" spans="1:20" s="14" customFormat="1" x14ac:dyDescent="0.3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S3051" s="31"/>
      <c r="T3051" s="31"/>
    </row>
    <row r="3052" spans="1:20" s="14" customFormat="1" x14ac:dyDescent="0.3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S3052" s="31"/>
      <c r="T3052" s="31"/>
    </row>
    <row r="3053" spans="1:20" s="14" customFormat="1" x14ac:dyDescent="0.3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S3053" s="31"/>
      <c r="T3053" s="31"/>
    </row>
    <row r="3054" spans="1:20" s="14" customFormat="1" x14ac:dyDescent="0.3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S3054" s="31"/>
      <c r="T3054" s="31"/>
    </row>
    <row r="3055" spans="1:20" s="14" customFormat="1" x14ac:dyDescent="0.3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S3055" s="31"/>
      <c r="T3055" s="31"/>
    </row>
    <row r="3056" spans="1:20" s="14" customFormat="1" x14ac:dyDescent="0.3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S3056" s="31"/>
      <c r="T3056" s="31"/>
    </row>
    <row r="3057" spans="1:20" s="14" customFormat="1" x14ac:dyDescent="0.3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S3057" s="31"/>
      <c r="T3057" s="31"/>
    </row>
    <row r="3058" spans="1:20" s="14" customFormat="1" x14ac:dyDescent="0.3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S3058" s="31"/>
      <c r="T3058" s="31"/>
    </row>
    <row r="3059" spans="1:20" s="14" customFormat="1" x14ac:dyDescent="0.3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S3059" s="31"/>
      <c r="T3059" s="31"/>
    </row>
    <row r="3060" spans="1:20" s="14" customFormat="1" x14ac:dyDescent="0.3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S3060" s="31"/>
      <c r="T3060" s="31"/>
    </row>
    <row r="3061" spans="1:20" s="14" customFormat="1" x14ac:dyDescent="0.3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S3061" s="31"/>
      <c r="T3061" s="31"/>
    </row>
    <row r="3062" spans="1:20" s="14" customFormat="1" x14ac:dyDescent="0.3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S3062" s="31"/>
      <c r="T3062" s="31"/>
    </row>
    <row r="3063" spans="1:20" s="14" customFormat="1" x14ac:dyDescent="0.3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S3063" s="31"/>
      <c r="T3063" s="31"/>
    </row>
    <row r="3064" spans="1:20" s="14" customFormat="1" x14ac:dyDescent="0.3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S3064" s="31"/>
      <c r="T3064" s="31"/>
    </row>
    <row r="3065" spans="1:20" s="14" customFormat="1" x14ac:dyDescent="0.3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S3065" s="31"/>
      <c r="T3065" s="31"/>
    </row>
    <row r="3066" spans="1:20" s="14" customFormat="1" x14ac:dyDescent="0.3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S3066" s="31"/>
      <c r="T3066" s="31"/>
    </row>
    <row r="3067" spans="1:20" s="14" customFormat="1" x14ac:dyDescent="0.3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S3067" s="31"/>
      <c r="T3067" s="31"/>
    </row>
    <row r="3068" spans="1:20" s="14" customFormat="1" x14ac:dyDescent="0.3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S3068" s="31"/>
      <c r="T3068" s="31"/>
    </row>
    <row r="3069" spans="1:20" s="14" customFormat="1" x14ac:dyDescent="0.3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S3069" s="31"/>
      <c r="T3069" s="31"/>
    </row>
    <row r="3070" spans="1:20" s="14" customFormat="1" x14ac:dyDescent="0.3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S3070" s="31"/>
      <c r="T3070" s="31"/>
    </row>
    <row r="3071" spans="1:20" s="14" customFormat="1" x14ac:dyDescent="0.3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S3071" s="31"/>
      <c r="T3071" s="31"/>
    </row>
    <row r="3072" spans="1:20" s="14" customFormat="1" x14ac:dyDescent="0.3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S3072" s="31"/>
      <c r="T3072" s="31"/>
    </row>
    <row r="3073" spans="1:20" s="14" customFormat="1" x14ac:dyDescent="0.3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S3073" s="31"/>
      <c r="T3073" s="31"/>
    </row>
    <row r="3074" spans="1:20" s="14" customFormat="1" x14ac:dyDescent="0.3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S3074" s="31"/>
      <c r="T3074" s="31"/>
    </row>
    <row r="3075" spans="1:20" s="14" customFormat="1" x14ac:dyDescent="0.3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S3075" s="31"/>
      <c r="T3075" s="31"/>
    </row>
    <row r="3076" spans="1:20" s="14" customFormat="1" x14ac:dyDescent="0.3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S3076" s="31"/>
      <c r="T3076" s="31"/>
    </row>
    <row r="3077" spans="1:20" s="14" customFormat="1" x14ac:dyDescent="0.3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S3077" s="31"/>
      <c r="T3077" s="31"/>
    </row>
    <row r="3078" spans="1:20" s="14" customFormat="1" x14ac:dyDescent="0.3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S3078" s="31"/>
      <c r="T3078" s="31"/>
    </row>
    <row r="3079" spans="1:20" s="14" customFormat="1" x14ac:dyDescent="0.3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S3079" s="31"/>
      <c r="T3079" s="31"/>
    </row>
    <row r="3080" spans="1:20" s="14" customFormat="1" x14ac:dyDescent="0.3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S3080" s="31"/>
      <c r="T3080" s="31"/>
    </row>
    <row r="3081" spans="1:20" s="14" customFormat="1" x14ac:dyDescent="0.3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S3081" s="31"/>
      <c r="T3081" s="31"/>
    </row>
    <row r="3082" spans="1:20" s="14" customFormat="1" x14ac:dyDescent="0.3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S3082" s="31"/>
      <c r="T3082" s="31"/>
    </row>
    <row r="3083" spans="1:20" s="14" customFormat="1" x14ac:dyDescent="0.3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S3083" s="31"/>
      <c r="T3083" s="31"/>
    </row>
    <row r="3084" spans="1:20" s="14" customFormat="1" x14ac:dyDescent="0.3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S3084" s="31"/>
      <c r="T3084" s="31"/>
    </row>
    <row r="3085" spans="1:20" s="14" customFormat="1" x14ac:dyDescent="0.3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S3085" s="31"/>
      <c r="T3085" s="31"/>
    </row>
    <row r="3086" spans="1:20" s="14" customFormat="1" x14ac:dyDescent="0.3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S3086" s="31"/>
      <c r="T3086" s="31"/>
    </row>
    <row r="3087" spans="1:20" s="14" customFormat="1" x14ac:dyDescent="0.3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S3087" s="31"/>
      <c r="T3087" s="31"/>
    </row>
    <row r="3088" spans="1:20" s="14" customFormat="1" x14ac:dyDescent="0.3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S3088" s="31"/>
      <c r="T3088" s="31"/>
    </row>
    <row r="3089" spans="1:20" s="14" customFormat="1" x14ac:dyDescent="0.3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S3089" s="31"/>
      <c r="T3089" s="31"/>
    </row>
    <row r="3090" spans="1:20" s="14" customFormat="1" x14ac:dyDescent="0.3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S3090" s="31"/>
      <c r="T3090" s="31"/>
    </row>
    <row r="3091" spans="1:20" s="14" customFormat="1" x14ac:dyDescent="0.3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S3091" s="31"/>
      <c r="T3091" s="31"/>
    </row>
    <row r="3092" spans="1:20" s="14" customFormat="1" x14ac:dyDescent="0.3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S3092" s="31"/>
      <c r="T3092" s="31"/>
    </row>
    <row r="3093" spans="1:20" s="14" customFormat="1" x14ac:dyDescent="0.3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S3093" s="31"/>
      <c r="T3093" s="31"/>
    </row>
    <row r="3094" spans="1:20" s="14" customFormat="1" x14ac:dyDescent="0.3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S3094" s="31"/>
      <c r="T3094" s="31"/>
    </row>
    <row r="3095" spans="1:20" s="14" customFormat="1" x14ac:dyDescent="0.3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S3095" s="31"/>
      <c r="T3095" s="31"/>
    </row>
    <row r="3096" spans="1:20" s="14" customFormat="1" x14ac:dyDescent="0.3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S3096" s="31"/>
      <c r="T3096" s="31"/>
    </row>
    <row r="3097" spans="1:20" s="14" customFormat="1" x14ac:dyDescent="0.3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S3097" s="31"/>
      <c r="T3097" s="31"/>
    </row>
    <row r="3098" spans="1:20" s="14" customFormat="1" x14ac:dyDescent="0.3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S3098" s="31"/>
      <c r="T3098" s="31"/>
    </row>
    <row r="3099" spans="1:20" s="14" customFormat="1" x14ac:dyDescent="0.3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S3099" s="31"/>
      <c r="T3099" s="31"/>
    </row>
    <row r="3100" spans="1:20" s="14" customFormat="1" x14ac:dyDescent="0.3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S3100" s="31"/>
      <c r="T3100" s="31"/>
    </row>
    <row r="3101" spans="1:20" s="14" customFormat="1" x14ac:dyDescent="0.3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S3101" s="31"/>
      <c r="T3101" s="31"/>
    </row>
    <row r="3102" spans="1:20" s="14" customFormat="1" x14ac:dyDescent="0.3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S3102" s="31"/>
      <c r="T3102" s="31"/>
    </row>
    <row r="3103" spans="1:20" s="14" customFormat="1" x14ac:dyDescent="0.3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S3103" s="31"/>
      <c r="T3103" s="31"/>
    </row>
    <row r="3104" spans="1:20" s="14" customFormat="1" x14ac:dyDescent="0.3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S3104" s="31"/>
      <c r="T3104" s="31"/>
    </row>
    <row r="3105" spans="1:20" s="14" customFormat="1" x14ac:dyDescent="0.3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S3105" s="31"/>
      <c r="T3105" s="31"/>
    </row>
    <row r="3106" spans="1:20" s="14" customFormat="1" x14ac:dyDescent="0.3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S3106" s="31"/>
      <c r="T3106" s="31"/>
    </row>
    <row r="3107" spans="1:20" s="14" customFormat="1" x14ac:dyDescent="0.3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S3107" s="31"/>
      <c r="T3107" s="31"/>
    </row>
    <row r="3108" spans="1:20" s="14" customFormat="1" x14ac:dyDescent="0.3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S3108" s="31"/>
      <c r="T3108" s="31"/>
    </row>
    <row r="3109" spans="1:20" s="14" customFormat="1" x14ac:dyDescent="0.3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S3109" s="31"/>
      <c r="T3109" s="31"/>
    </row>
    <row r="3110" spans="1:20" s="14" customFormat="1" x14ac:dyDescent="0.3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S3110" s="31"/>
      <c r="T3110" s="31"/>
    </row>
    <row r="3111" spans="1:20" s="14" customFormat="1" x14ac:dyDescent="0.3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S3111" s="31"/>
      <c r="T3111" s="31"/>
    </row>
    <row r="3112" spans="1:20" s="14" customFormat="1" x14ac:dyDescent="0.3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S3112" s="31"/>
      <c r="T3112" s="31"/>
    </row>
    <row r="3113" spans="1:20" s="14" customFormat="1" x14ac:dyDescent="0.3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S3113" s="31"/>
      <c r="T3113" s="31"/>
    </row>
    <row r="3114" spans="1:20" s="14" customFormat="1" x14ac:dyDescent="0.3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S3114" s="31"/>
      <c r="T3114" s="31"/>
    </row>
    <row r="3115" spans="1:20" s="14" customFormat="1" x14ac:dyDescent="0.3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S3115" s="31"/>
      <c r="T3115" s="31"/>
    </row>
    <row r="3116" spans="1:20" s="14" customFormat="1" x14ac:dyDescent="0.3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S3116" s="31"/>
      <c r="T3116" s="31"/>
    </row>
    <row r="3117" spans="1:20" s="14" customFormat="1" x14ac:dyDescent="0.3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S3117" s="31"/>
      <c r="T3117" s="31"/>
    </row>
    <row r="3118" spans="1:20" s="14" customFormat="1" x14ac:dyDescent="0.3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S3118" s="31"/>
      <c r="T3118" s="31"/>
    </row>
    <row r="3119" spans="1:20" s="14" customFormat="1" x14ac:dyDescent="0.3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S3119" s="31"/>
      <c r="T3119" s="31"/>
    </row>
    <row r="3120" spans="1:20" s="14" customFormat="1" x14ac:dyDescent="0.3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S3120" s="31"/>
      <c r="T3120" s="31"/>
    </row>
    <row r="3121" spans="1:20" s="14" customFormat="1" x14ac:dyDescent="0.3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S3121" s="31"/>
      <c r="T3121" s="31"/>
    </row>
    <row r="3122" spans="1:20" s="14" customFormat="1" x14ac:dyDescent="0.3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S3122" s="31"/>
      <c r="T3122" s="31"/>
    </row>
    <row r="3123" spans="1:20" s="14" customFormat="1" x14ac:dyDescent="0.3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S3123" s="31"/>
      <c r="T3123" s="31"/>
    </row>
    <row r="3124" spans="1:20" s="14" customFormat="1" x14ac:dyDescent="0.3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S3124" s="31"/>
      <c r="T3124" s="31"/>
    </row>
    <row r="3125" spans="1:20" s="14" customFormat="1" x14ac:dyDescent="0.3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S3125" s="31"/>
      <c r="T3125" s="31"/>
    </row>
    <row r="3126" spans="1:20" s="14" customFormat="1" x14ac:dyDescent="0.3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S3126" s="31"/>
      <c r="T3126" s="31"/>
    </row>
    <row r="3127" spans="1:20" s="14" customFormat="1" x14ac:dyDescent="0.3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S3127" s="31"/>
      <c r="T3127" s="31"/>
    </row>
    <row r="3128" spans="1:20" s="14" customFormat="1" x14ac:dyDescent="0.3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S3128" s="31"/>
      <c r="T3128" s="31"/>
    </row>
    <row r="3129" spans="1:20" s="14" customFormat="1" x14ac:dyDescent="0.3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S3129" s="31"/>
      <c r="T3129" s="31"/>
    </row>
    <row r="3130" spans="1:20" s="14" customFormat="1" x14ac:dyDescent="0.3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S3130" s="31"/>
      <c r="T3130" s="31"/>
    </row>
    <row r="3131" spans="1:20" s="14" customFormat="1" x14ac:dyDescent="0.3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S3131" s="31"/>
      <c r="T3131" s="31"/>
    </row>
    <row r="3132" spans="1:20" s="14" customFormat="1" x14ac:dyDescent="0.3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S3132" s="31"/>
      <c r="T3132" s="31"/>
    </row>
    <row r="3133" spans="1:20" s="14" customFormat="1" x14ac:dyDescent="0.3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S3133" s="31"/>
      <c r="T3133" s="31"/>
    </row>
    <row r="3134" spans="1:20" s="14" customFormat="1" x14ac:dyDescent="0.3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S3134" s="31"/>
      <c r="T3134" s="31"/>
    </row>
    <row r="3135" spans="1:20" s="14" customFormat="1" x14ac:dyDescent="0.3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S3135" s="31"/>
      <c r="T3135" s="31"/>
    </row>
    <row r="3136" spans="1:20" s="14" customFormat="1" x14ac:dyDescent="0.3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S3136" s="31"/>
      <c r="T3136" s="31"/>
    </row>
    <row r="3137" spans="1:20" s="14" customFormat="1" x14ac:dyDescent="0.3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S3137" s="31"/>
      <c r="T3137" s="31"/>
    </row>
    <row r="3138" spans="1:20" s="14" customFormat="1" x14ac:dyDescent="0.3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S3138" s="31"/>
      <c r="T3138" s="31"/>
    </row>
    <row r="3139" spans="1:20" s="14" customFormat="1" x14ac:dyDescent="0.3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S3139" s="31"/>
      <c r="T3139" s="31"/>
    </row>
    <row r="3140" spans="1:20" s="14" customFormat="1" x14ac:dyDescent="0.3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S3140" s="31"/>
      <c r="T3140" s="31"/>
    </row>
    <row r="3141" spans="1:20" s="14" customFormat="1" x14ac:dyDescent="0.3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S3141" s="31"/>
      <c r="T3141" s="31"/>
    </row>
    <row r="3142" spans="1:20" s="14" customFormat="1" x14ac:dyDescent="0.3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S3142" s="31"/>
      <c r="T3142" s="31"/>
    </row>
    <row r="3143" spans="1:20" s="14" customFormat="1" x14ac:dyDescent="0.3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S3143" s="31"/>
      <c r="T3143" s="31"/>
    </row>
    <row r="3144" spans="1:20" s="14" customFormat="1" x14ac:dyDescent="0.3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S3144" s="31"/>
      <c r="T3144" s="31"/>
    </row>
    <row r="3145" spans="1:20" s="14" customFormat="1" x14ac:dyDescent="0.3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S3145" s="31"/>
      <c r="T3145" s="31"/>
    </row>
    <row r="3146" spans="1:20" s="14" customFormat="1" x14ac:dyDescent="0.3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S3146" s="31"/>
      <c r="T3146" s="31"/>
    </row>
    <row r="3147" spans="1:20" s="14" customFormat="1" x14ac:dyDescent="0.3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S3147" s="31"/>
      <c r="T3147" s="31"/>
    </row>
    <row r="3148" spans="1:20" s="14" customFormat="1" x14ac:dyDescent="0.3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S3148" s="31"/>
      <c r="T3148" s="31"/>
    </row>
    <row r="3149" spans="1:20" s="14" customFormat="1" x14ac:dyDescent="0.3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S3149" s="31"/>
      <c r="T3149" s="31"/>
    </row>
    <row r="3150" spans="1:20" s="14" customFormat="1" x14ac:dyDescent="0.3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S3150" s="31"/>
      <c r="T3150" s="31"/>
    </row>
    <row r="3151" spans="1:20" s="14" customFormat="1" x14ac:dyDescent="0.3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S3151" s="31"/>
      <c r="T3151" s="31"/>
    </row>
    <row r="3152" spans="1:20" s="14" customFormat="1" x14ac:dyDescent="0.3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S3152" s="31"/>
      <c r="T3152" s="31"/>
    </row>
    <row r="3153" spans="1:20" s="14" customFormat="1" x14ac:dyDescent="0.3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S3153" s="31"/>
      <c r="T3153" s="31"/>
    </row>
    <row r="3154" spans="1:20" s="14" customFormat="1" x14ac:dyDescent="0.3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S3154" s="31"/>
      <c r="T3154" s="31"/>
    </row>
    <row r="3155" spans="1:20" s="14" customFormat="1" x14ac:dyDescent="0.3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S3155" s="31"/>
      <c r="T3155" s="31"/>
    </row>
    <row r="3156" spans="1:20" s="14" customFormat="1" x14ac:dyDescent="0.3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S3156" s="31"/>
      <c r="T3156" s="31"/>
    </row>
    <row r="3157" spans="1:20" s="14" customFormat="1" x14ac:dyDescent="0.3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S3157" s="31"/>
      <c r="T3157" s="31"/>
    </row>
    <row r="3158" spans="1:20" s="14" customFormat="1" x14ac:dyDescent="0.3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S3158" s="31"/>
      <c r="T3158" s="31"/>
    </row>
    <row r="3159" spans="1:20" s="14" customFormat="1" x14ac:dyDescent="0.3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S3159" s="31"/>
      <c r="T3159" s="31"/>
    </row>
    <row r="3160" spans="1:20" s="14" customFormat="1" x14ac:dyDescent="0.3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S3160" s="31"/>
      <c r="T3160" s="31"/>
    </row>
    <row r="3161" spans="1:20" s="14" customFormat="1" x14ac:dyDescent="0.3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S3161" s="31"/>
      <c r="T3161" s="31"/>
    </row>
    <row r="3162" spans="1:20" s="14" customFormat="1" x14ac:dyDescent="0.3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S3162" s="31"/>
      <c r="T3162" s="31"/>
    </row>
    <row r="3163" spans="1:20" s="14" customFormat="1" x14ac:dyDescent="0.3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S3163" s="31"/>
      <c r="T3163" s="31"/>
    </row>
    <row r="3164" spans="1:20" s="14" customFormat="1" x14ac:dyDescent="0.3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S3164" s="31"/>
      <c r="T3164" s="31"/>
    </row>
    <row r="3165" spans="1:20" s="14" customFormat="1" x14ac:dyDescent="0.3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S3165" s="31"/>
      <c r="T3165" s="31"/>
    </row>
    <row r="3166" spans="1:20" s="14" customFormat="1" x14ac:dyDescent="0.3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S3166" s="31"/>
      <c r="T3166" s="31"/>
    </row>
    <row r="3167" spans="1:20" s="14" customFormat="1" x14ac:dyDescent="0.3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S3167" s="31"/>
      <c r="T3167" s="31"/>
    </row>
    <row r="3168" spans="1:20" s="14" customFormat="1" x14ac:dyDescent="0.3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S3168" s="31"/>
      <c r="T3168" s="31"/>
    </row>
    <row r="3169" spans="1:20" s="14" customFormat="1" x14ac:dyDescent="0.3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S3169" s="31"/>
      <c r="T3169" s="31"/>
    </row>
    <row r="3170" spans="1:20" s="14" customFormat="1" x14ac:dyDescent="0.3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S3170" s="31"/>
      <c r="T3170" s="31"/>
    </row>
    <row r="3171" spans="1:20" s="14" customFormat="1" x14ac:dyDescent="0.3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S3171" s="31"/>
      <c r="T3171" s="31"/>
    </row>
    <row r="3172" spans="1:20" s="14" customFormat="1" x14ac:dyDescent="0.3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S3172" s="31"/>
      <c r="T3172" s="31"/>
    </row>
    <row r="3173" spans="1:20" s="14" customFormat="1" x14ac:dyDescent="0.3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S3173" s="31"/>
      <c r="T3173" s="31"/>
    </row>
    <row r="3174" spans="1:20" s="14" customFormat="1" x14ac:dyDescent="0.3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S3174" s="31"/>
      <c r="T3174" s="31"/>
    </row>
    <row r="3175" spans="1:20" s="14" customFormat="1" x14ac:dyDescent="0.3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S3175" s="31"/>
      <c r="T3175" s="31"/>
    </row>
    <row r="3176" spans="1:20" s="14" customFormat="1" x14ac:dyDescent="0.3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S3176" s="31"/>
      <c r="T3176" s="31"/>
    </row>
    <row r="3177" spans="1:20" s="14" customFormat="1" x14ac:dyDescent="0.3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S3177" s="31"/>
      <c r="T3177" s="31"/>
    </row>
    <row r="3178" spans="1:20" s="14" customFormat="1" x14ac:dyDescent="0.3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S3178" s="31"/>
      <c r="T3178" s="31"/>
    </row>
    <row r="3179" spans="1:20" s="14" customFormat="1" x14ac:dyDescent="0.3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S3179" s="31"/>
      <c r="T3179" s="31"/>
    </row>
    <row r="3180" spans="1:20" s="14" customFormat="1" x14ac:dyDescent="0.3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S3180" s="31"/>
      <c r="T3180" s="31"/>
    </row>
    <row r="3181" spans="1:20" s="14" customFormat="1" x14ac:dyDescent="0.3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S3181" s="31"/>
      <c r="T3181" s="31"/>
    </row>
    <row r="3182" spans="1:20" s="14" customFormat="1" x14ac:dyDescent="0.3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S3182" s="31"/>
      <c r="T3182" s="31"/>
    </row>
    <row r="3183" spans="1:20" s="14" customFormat="1" x14ac:dyDescent="0.3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S3183" s="31"/>
      <c r="T3183" s="31"/>
    </row>
    <row r="3184" spans="1:20" s="14" customFormat="1" x14ac:dyDescent="0.3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S3184" s="31"/>
      <c r="T3184" s="31"/>
    </row>
    <row r="3185" spans="1:20" s="14" customFormat="1" x14ac:dyDescent="0.3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S3185" s="31"/>
      <c r="T3185" s="31"/>
    </row>
    <row r="3186" spans="1:20" s="14" customFormat="1" x14ac:dyDescent="0.3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S3186" s="31"/>
      <c r="T3186" s="31"/>
    </row>
    <row r="3187" spans="1:20" s="14" customFormat="1" x14ac:dyDescent="0.3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S3187" s="31"/>
      <c r="T3187" s="31"/>
    </row>
    <row r="3188" spans="1:20" s="14" customFormat="1" x14ac:dyDescent="0.3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S3188" s="31"/>
      <c r="T3188" s="31"/>
    </row>
    <row r="3189" spans="1:20" s="14" customFormat="1" x14ac:dyDescent="0.3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S3189" s="31"/>
      <c r="T3189" s="31"/>
    </row>
    <row r="3190" spans="1:20" s="14" customFormat="1" x14ac:dyDescent="0.3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S3190" s="31"/>
      <c r="T3190" s="31"/>
    </row>
    <row r="3191" spans="1:20" s="14" customFormat="1" x14ac:dyDescent="0.3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S3191" s="31"/>
      <c r="T3191" s="31"/>
    </row>
    <row r="3192" spans="1:20" s="14" customFormat="1" x14ac:dyDescent="0.3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S3192" s="31"/>
      <c r="T3192" s="31"/>
    </row>
    <row r="3193" spans="1:20" s="14" customFormat="1" x14ac:dyDescent="0.3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S3193" s="31"/>
      <c r="T3193" s="31"/>
    </row>
    <row r="3194" spans="1:20" s="14" customFormat="1" x14ac:dyDescent="0.3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S3194" s="31"/>
      <c r="T3194" s="31"/>
    </row>
    <row r="3195" spans="1:20" s="14" customFormat="1" x14ac:dyDescent="0.3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S3195" s="31"/>
      <c r="T3195" s="31"/>
    </row>
    <row r="3196" spans="1:20" s="14" customFormat="1" x14ac:dyDescent="0.3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S3196" s="31"/>
      <c r="T3196" s="31"/>
    </row>
    <row r="3197" spans="1:20" s="14" customFormat="1" x14ac:dyDescent="0.3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S3197" s="31"/>
      <c r="T3197" s="31"/>
    </row>
    <row r="3198" spans="1:20" s="14" customFormat="1" x14ac:dyDescent="0.3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S3198" s="31"/>
      <c r="T3198" s="31"/>
    </row>
    <row r="3199" spans="1:20" s="14" customFormat="1" x14ac:dyDescent="0.3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S3199" s="31"/>
      <c r="T3199" s="31"/>
    </row>
    <row r="3200" spans="1:20" s="14" customFormat="1" x14ac:dyDescent="0.3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S3200" s="31"/>
      <c r="T3200" s="31"/>
    </row>
    <row r="3201" spans="1:20" s="14" customFormat="1" x14ac:dyDescent="0.3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S3201" s="31"/>
      <c r="T3201" s="31"/>
    </row>
    <row r="3202" spans="1:20" s="14" customFormat="1" x14ac:dyDescent="0.3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S3202" s="31"/>
      <c r="T3202" s="31"/>
    </row>
    <row r="3203" spans="1:20" s="14" customFormat="1" x14ac:dyDescent="0.3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S3203" s="31"/>
      <c r="T3203" s="31"/>
    </row>
    <row r="3204" spans="1:20" s="14" customFormat="1" x14ac:dyDescent="0.3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S3204" s="31"/>
      <c r="T3204" s="31"/>
    </row>
    <row r="3205" spans="1:20" s="14" customFormat="1" x14ac:dyDescent="0.3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S3205" s="31"/>
      <c r="T3205" s="31"/>
    </row>
    <row r="3206" spans="1:20" s="14" customFormat="1" x14ac:dyDescent="0.3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S3206" s="31"/>
      <c r="T3206" s="31"/>
    </row>
    <row r="3207" spans="1:20" s="14" customFormat="1" x14ac:dyDescent="0.3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S3207" s="31"/>
      <c r="T3207" s="31"/>
    </row>
    <row r="3208" spans="1:20" s="14" customFormat="1" x14ac:dyDescent="0.3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S3208" s="31"/>
      <c r="T3208" s="31"/>
    </row>
    <row r="3209" spans="1:20" s="14" customFormat="1" x14ac:dyDescent="0.3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S3209" s="31"/>
      <c r="T3209" s="31"/>
    </row>
    <row r="3210" spans="1:20" s="14" customFormat="1" x14ac:dyDescent="0.3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S3210" s="31"/>
      <c r="T3210" s="31"/>
    </row>
    <row r="3211" spans="1:20" s="14" customFormat="1" x14ac:dyDescent="0.3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S3211" s="31"/>
      <c r="T3211" s="31"/>
    </row>
    <row r="3212" spans="1:20" s="14" customFormat="1" x14ac:dyDescent="0.3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S3212" s="31"/>
      <c r="T3212" s="31"/>
    </row>
    <row r="3213" spans="1:20" s="14" customFormat="1" x14ac:dyDescent="0.3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S3213" s="31"/>
      <c r="T3213" s="31"/>
    </row>
    <row r="3214" spans="1:20" s="14" customFormat="1" x14ac:dyDescent="0.3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S3214" s="31"/>
      <c r="T3214" s="31"/>
    </row>
    <row r="3215" spans="1:20" s="14" customFormat="1" x14ac:dyDescent="0.3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S3215" s="31"/>
      <c r="T3215" s="31"/>
    </row>
    <row r="3216" spans="1:20" s="14" customFormat="1" x14ac:dyDescent="0.3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S3216" s="31"/>
      <c r="T3216" s="31"/>
    </row>
    <row r="3217" spans="1:20" s="14" customFormat="1" x14ac:dyDescent="0.3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S3217" s="31"/>
      <c r="T3217" s="31"/>
    </row>
    <row r="3218" spans="1:20" s="14" customFormat="1" x14ac:dyDescent="0.3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S3218" s="31"/>
      <c r="T3218" s="31"/>
    </row>
    <row r="3219" spans="1:20" s="14" customFormat="1" x14ac:dyDescent="0.3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S3219" s="31"/>
      <c r="T3219" s="31"/>
    </row>
    <row r="3220" spans="1:20" s="14" customFormat="1" x14ac:dyDescent="0.3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S3220" s="31"/>
      <c r="T3220" s="31"/>
    </row>
    <row r="3221" spans="1:20" s="14" customFormat="1" x14ac:dyDescent="0.3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S3221" s="31"/>
      <c r="T3221" s="31"/>
    </row>
    <row r="3222" spans="1:20" s="14" customFormat="1" x14ac:dyDescent="0.3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S3222" s="31"/>
      <c r="T3222" s="31"/>
    </row>
    <row r="3223" spans="1:20" s="14" customFormat="1" x14ac:dyDescent="0.3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S3223" s="31"/>
      <c r="T3223" s="31"/>
    </row>
    <row r="3224" spans="1:20" s="14" customFormat="1" x14ac:dyDescent="0.3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S3224" s="31"/>
      <c r="T3224" s="31"/>
    </row>
    <row r="3225" spans="1:20" s="14" customFormat="1" x14ac:dyDescent="0.3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S3225" s="31"/>
      <c r="T3225" s="31"/>
    </row>
    <row r="3226" spans="1:20" s="14" customFormat="1" x14ac:dyDescent="0.3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S3226" s="31"/>
      <c r="T3226" s="31"/>
    </row>
    <row r="3227" spans="1:20" s="14" customFormat="1" x14ac:dyDescent="0.3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S3227" s="31"/>
      <c r="T3227" s="31"/>
    </row>
    <row r="3228" spans="1:20" s="14" customFormat="1" x14ac:dyDescent="0.3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S3228" s="31"/>
      <c r="T3228" s="31"/>
    </row>
    <row r="3229" spans="1:20" s="14" customFormat="1" x14ac:dyDescent="0.3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S3229" s="31"/>
      <c r="T3229" s="31"/>
    </row>
    <row r="3230" spans="1:20" s="14" customFormat="1" x14ac:dyDescent="0.3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S3230" s="31"/>
      <c r="T3230" s="31"/>
    </row>
    <row r="3231" spans="1:20" s="14" customFormat="1" x14ac:dyDescent="0.3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S3231" s="31"/>
      <c r="T3231" s="31"/>
    </row>
    <row r="3232" spans="1:20" s="14" customFormat="1" x14ac:dyDescent="0.3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S3232" s="31"/>
      <c r="T3232" s="31"/>
    </row>
    <row r="3233" spans="1:20" s="14" customFormat="1" x14ac:dyDescent="0.3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S3233" s="31"/>
      <c r="T3233" s="31"/>
    </row>
    <row r="3234" spans="1:20" s="14" customFormat="1" x14ac:dyDescent="0.3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S3234" s="31"/>
      <c r="T3234" s="31"/>
    </row>
    <row r="3235" spans="1:20" s="14" customFormat="1" x14ac:dyDescent="0.3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S3235" s="31"/>
      <c r="T3235" s="31"/>
    </row>
    <row r="3236" spans="1:20" s="14" customFormat="1" x14ac:dyDescent="0.3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S3236" s="31"/>
      <c r="T3236" s="31"/>
    </row>
    <row r="3237" spans="1:20" s="14" customFormat="1" x14ac:dyDescent="0.3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S3237" s="31"/>
      <c r="T3237" s="31"/>
    </row>
    <row r="3238" spans="1:20" s="14" customFormat="1" x14ac:dyDescent="0.3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S3238" s="31"/>
      <c r="T3238" s="31"/>
    </row>
    <row r="3239" spans="1:20" s="14" customFormat="1" x14ac:dyDescent="0.3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S3239" s="31"/>
      <c r="T3239" s="31"/>
    </row>
    <row r="3240" spans="1:20" s="14" customFormat="1" x14ac:dyDescent="0.3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S3240" s="31"/>
      <c r="T3240" s="31"/>
    </row>
    <row r="3241" spans="1:20" s="14" customFormat="1" x14ac:dyDescent="0.3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S3241" s="31"/>
      <c r="T3241" s="31"/>
    </row>
    <row r="3242" spans="1:20" s="14" customFormat="1" x14ac:dyDescent="0.3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S3242" s="31"/>
      <c r="T3242" s="31"/>
    </row>
    <row r="3243" spans="1:20" s="14" customFormat="1" x14ac:dyDescent="0.3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S3243" s="31"/>
      <c r="T3243" s="31"/>
    </row>
    <row r="3244" spans="1:20" s="14" customFormat="1" x14ac:dyDescent="0.3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S3244" s="31"/>
      <c r="T3244" s="31"/>
    </row>
    <row r="3245" spans="1:20" s="14" customFormat="1" x14ac:dyDescent="0.3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S3245" s="31"/>
      <c r="T3245" s="31"/>
    </row>
    <row r="3246" spans="1:20" s="14" customFormat="1" x14ac:dyDescent="0.3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S3246" s="31"/>
      <c r="T3246" s="31"/>
    </row>
    <row r="3247" spans="1:20" s="14" customFormat="1" x14ac:dyDescent="0.3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S3247" s="31"/>
      <c r="T3247" s="31"/>
    </row>
    <row r="3248" spans="1:20" s="14" customFormat="1" x14ac:dyDescent="0.3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S3248" s="31"/>
      <c r="T3248" s="31"/>
    </row>
    <row r="3249" spans="1:20" s="14" customFormat="1" x14ac:dyDescent="0.3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S3249" s="31"/>
      <c r="T3249" s="31"/>
    </row>
    <row r="3250" spans="1:20" s="14" customFormat="1" x14ac:dyDescent="0.3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S3250" s="31"/>
      <c r="T3250" s="31"/>
    </row>
    <row r="3251" spans="1:20" s="14" customFormat="1" x14ac:dyDescent="0.3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S3251" s="31"/>
      <c r="T3251" s="31"/>
    </row>
    <row r="3252" spans="1:20" s="14" customFormat="1" x14ac:dyDescent="0.3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S3252" s="31"/>
      <c r="T3252" s="31"/>
    </row>
    <row r="3253" spans="1:20" s="14" customFormat="1" x14ac:dyDescent="0.3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S3253" s="31"/>
      <c r="T3253" s="31"/>
    </row>
    <row r="3254" spans="1:20" s="14" customFormat="1" x14ac:dyDescent="0.3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S3254" s="31"/>
      <c r="T3254" s="31"/>
    </row>
    <row r="3255" spans="1:20" s="14" customFormat="1" x14ac:dyDescent="0.3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S3255" s="31"/>
      <c r="T3255" s="31"/>
    </row>
    <row r="3256" spans="1:20" s="14" customFormat="1" x14ac:dyDescent="0.3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S3256" s="31"/>
      <c r="T3256" s="31"/>
    </row>
    <row r="3257" spans="1:20" s="14" customFormat="1" x14ac:dyDescent="0.3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S3257" s="31"/>
      <c r="T3257" s="31"/>
    </row>
    <row r="3258" spans="1:20" s="14" customFormat="1" x14ac:dyDescent="0.3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S3258" s="31"/>
      <c r="T3258" s="31"/>
    </row>
    <row r="3259" spans="1:20" s="14" customFormat="1" x14ac:dyDescent="0.3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S3259" s="31"/>
      <c r="T3259" s="31"/>
    </row>
    <row r="3260" spans="1:20" s="14" customFormat="1" x14ac:dyDescent="0.3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S3260" s="31"/>
      <c r="T3260" s="31"/>
    </row>
    <row r="3261" spans="1:20" s="14" customFormat="1" x14ac:dyDescent="0.3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S3261" s="31"/>
      <c r="T3261" s="31"/>
    </row>
    <row r="3262" spans="1:20" s="14" customFormat="1" x14ac:dyDescent="0.3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S3262" s="31"/>
      <c r="T3262" s="31"/>
    </row>
    <row r="3263" spans="1:20" s="14" customFormat="1" x14ac:dyDescent="0.3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S3263" s="31"/>
      <c r="T3263" s="31"/>
    </row>
    <row r="3264" spans="1:20" s="14" customFormat="1" x14ac:dyDescent="0.3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S3264" s="31"/>
      <c r="T3264" s="31"/>
    </row>
    <row r="3265" spans="1:20" s="14" customFormat="1" x14ac:dyDescent="0.3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S3265" s="31"/>
      <c r="T3265" s="31"/>
    </row>
    <row r="3266" spans="1:20" s="14" customFormat="1" x14ac:dyDescent="0.3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S3266" s="31"/>
      <c r="T3266" s="31"/>
    </row>
    <row r="3267" spans="1:20" s="14" customFormat="1" x14ac:dyDescent="0.3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S3267" s="31"/>
      <c r="T3267" s="31"/>
    </row>
    <row r="3268" spans="1:20" s="14" customFormat="1" x14ac:dyDescent="0.3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S3268" s="31"/>
      <c r="T3268" s="31"/>
    </row>
    <row r="3269" spans="1:20" s="14" customFormat="1" x14ac:dyDescent="0.3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S3269" s="31"/>
      <c r="T3269" s="31"/>
    </row>
    <row r="3270" spans="1:20" s="14" customFormat="1" x14ac:dyDescent="0.3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S3270" s="31"/>
      <c r="T3270" s="31"/>
    </row>
    <row r="3271" spans="1:20" s="14" customFormat="1" x14ac:dyDescent="0.3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S3271" s="31"/>
      <c r="T3271" s="31"/>
    </row>
    <row r="3272" spans="1:20" s="14" customFormat="1" x14ac:dyDescent="0.3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S3272" s="31"/>
      <c r="T3272" s="31"/>
    </row>
    <row r="3273" spans="1:20" s="14" customFormat="1" x14ac:dyDescent="0.3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S3273" s="31"/>
      <c r="T3273" s="31"/>
    </row>
    <row r="3274" spans="1:20" s="14" customFormat="1" x14ac:dyDescent="0.3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S3274" s="31"/>
      <c r="T3274" s="31"/>
    </row>
    <row r="3275" spans="1:20" s="14" customFormat="1" x14ac:dyDescent="0.3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S3275" s="31"/>
      <c r="T3275" s="31"/>
    </row>
    <row r="3276" spans="1:20" s="14" customFormat="1" x14ac:dyDescent="0.3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S3276" s="31"/>
      <c r="T3276" s="31"/>
    </row>
    <row r="3277" spans="1:20" s="14" customFormat="1" x14ac:dyDescent="0.3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S3277" s="31"/>
      <c r="T3277" s="31"/>
    </row>
    <row r="3278" spans="1:20" s="14" customFormat="1" x14ac:dyDescent="0.3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S3278" s="31"/>
      <c r="T3278" s="31"/>
    </row>
    <row r="3279" spans="1:20" s="14" customFormat="1" x14ac:dyDescent="0.3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S3279" s="31"/>
      <c r="T3279" s="31"/>
    </row>
    <row r="3280" spans="1:20" s="14" customFormat="1" x14ac:dyDescent="0.3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S3280" s="31"/>
      <c r="T3280" s="31"/>
    </row>
    <row r="3281" spans="1:20" s="14" customFormat="1" x14ac:dyDescent="0.3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S3281" s="31"/>
      <c r="T3281" s="31"/>
    </row>
    <row r="3282" spans="1:20" s="14" customFormat="1" x14ac:dyDescent="0.3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S3282" s="31"/>
      <c r="T3282" s="31"/>
    </row>
    <row r="3283" spans="1:20" s="14" customFormat="1" x14ac:dyDescent="0.3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S3283" s="31"/>
      <c r="T3283" s="31"/>
    </row>
    <row r="3284" spans="1:20" s="14" customFormat="1" x14ac:dyDescent="0.3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S3284" s="31"/>
      <c r="T3284" s="31"/>
    </row>
    <row r="3285" spans="1:20" s="14" customFormat="1" x14ac:dyDescent="0.3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S3285" s="31"/>
      <c r="T3285" s="31"/>
    </row>
    <row r="3286" spans="1:20" s="14" customFormat="1" x14ac:dyDescent="0.3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S3286" s="31"/>
      <c r="T3286" s="31"/>
    </row>
    <row r="3287" spans="1:20" s="14" customFormat="1" x14ac:dyDescent="0.3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S3287" s="31"/>
      <c r="T3287" s="31"/>
    </row>
    <row r="3288" spans="1:20" s="14" customFormat="1" x14ac:dyDescent="0.3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S3288" s="31"/>
      <c r="T3288" s="31"/>
    </row>
    <row r="3289" spans="1:20" s="14" customFormat="1" x14ac:dyDescent="0.3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S3289" s="31"/>
      <c r="T3289" s="31"/>
    </row>
    <row r="3290" spans="1:20" s="14" customFormat="1" x14ac:dyDescent="0.3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S3290" s="31"/>
      <c r="T3290" s="31"/>
    </row>
    <row r="3291" spans="1:20" s="14" customFormat="1" x14ac:dyDescent="0.3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S3291" s="31"/>
      <c r="T3291" s="31"/>
    </row>
    <row r="3292" spans="1:20" s="14" customFormat="1" x14ac:dyDescent="0.3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S3292" s="31"/>
      <c r="T3292" s="31"/>
    </row>
    <row r="3293" spans="1:20" s="14" customFormat="1" x14ac:dyDescent="0.3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S3293" s="31"/>
      <c r="T3293" s="31"/>
    </row>
    <row r="3294" spans="1:20" s="14" customFormat="1" x14ac:dyDescent="0.3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S3294" s="31"/>
      <c r="T3294" s="31"/>
    </row>
    <row r="3295" spans="1:20" s="14" customFormat="1" x14ac:dyDescent="0.3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S3295" s="31"/>
      <c r="T3295" s="31"/>
    </row>
    <row r="3296" spans="1:20" s="14" customFormat="1" x14ac:dyDescent="0.3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S3296" s="31"/>
      <c r="T3296" s="31"/>
    </row>
    <row r="3297" spans="1:20" s="14" customFormat="1" x14ac:dyDescent="0.3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S3297" s="31"/>
      <c r="T3297" s="31"/>
    </row>
    <row r="3298" spans="1:20" s="14" customFormat="1" x14ac:dyDescent="0.3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S3298" s="31"/>
      <c r="T3298" s="31"/>
    </row>
    <row r="3299" spans="1:20" s="14" customFormat="1" x14ac:dyDescent="0.3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S3299" s="31"/>
      <c r="T3299" s="31"/>
    </row>
    <row r="3300" spans="1:20" s="14" customFormat="1" x14ac:dyDescent="0.3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S3300" s="31"/>
      <c r="T3300" s="31"/>
    </row>
    <row r="3301" spans="1:20" s="14" customFormat="1" x14ac:dyDescent="0.3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S3301" s="31"/>
      <c r="T3301" s="31"/>
    </row>
    <row r="3302" spans="1:20" s="14" customFormat="1" x14ac:dyDescent="0.3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S3302" s="31"/>
      <c r="T3302" s="31"/>
    </row>
    <row r="3303" spans="1:20" s="14" customFormat="1" x14ac:dyDescent="0.3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S3303" s="31"/>
      <c r="T3303" s="31"/>
    </row>
    <row r="3304" spans="1:20" s="14" customFormat="1" x14ac:dyDescent="0.3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S3304" s="31"/>
      <c r="T3304" s="31"/>
    </row>
    <row r="3305" spans="1:20" s="14" customFormat="1" x14ac:dyDescent="0.3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S3305" s="31"/>
      <c r="T3305" s="31"/>
    </row>
    <row r="3306" spans="1:20" s="14" customFormat="1" x14ac:dyDescent="0.3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S3306" s="31"/>
      <c r="T3306" s="31"/>
    </row>
    <row r="3307" spans="1:20" s="14" customFormat="1" x14ac:dyDescent="0.3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S3307" s="31"/>
      <c r="T3307" s="31"/>
    </row>
    <row r="3308" spans="1:20" s="14" customFormat="1" x14ac:dyDescent="0.3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S3308" s="31"/>
      <c r="T3308" s="31"/>
    </row>
    <row r="3309" spans="1:20" s="14" customFormat="1" x14ac:dyDescent="0.3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S3309" s="31"/>
      <c r="T3309" s="31"/>
    </row>
    <row r="3310" spans="1:20" s="14" customFormat="1" x14ac:dyDescent="0.3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S3310" s="31"/>
      <c r="T3310" s="31"/>
    </row>
    <row r="3311" spans="1:20" s="14" customFormat="1" x14ac:dyDescent="0.3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S3311" s="31"/>
      <c r="T3311" s="31"/>
    </row>
    <row r="3312" spans="1:20" s="14" customFormat="1" x14ac:dyDescent="0.3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S3312" s="31"/>
      <c r="T3312" s="31"/>
    </row>
    <row r="3313" spans="1:20" s="14" customFormat="1" x14ac:dyDescent="0.3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S3313" s="31"/>
      <c r="T3313" s="31"/>
    </row>
    <row r="3314" spans="1:20" s="14" customFormat="1" x14ac:dyDescent="0.3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S3314" s="31"/>
      <c r="T3314" s="31"/>
    </row>
    <row r="3315" spans="1:20" s="14" customFormat="1" x14ac:dyDescent="0.3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S3315" s="31"/>
      <c r="T3315" s="31"/>
    </row>
    <row r="3316" spans="1:20" s="14" customFormat="1" x14ac:dyDescent="0.3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S3316" s="31"/>
      <c r="T3316" s="31"/>
    </row>
    <row r="3317" spans="1:20" s="14" customFormat="1" x14ac:dyDescent="0.3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S3317" s="31"/>
      <c r="T3317" s="31"/>
    </row>
    <row r="3318" spans="1:20" s="14" customFormat="1" x14ac:dyDescent="0.3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S3318" s="31"/>
      <c r="T3318" s="31"/>
    </row>
    <row r="3319" spans="1:20" s="14" customFormat="1" x14ac:dyDescent="0.3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S3319" s="31"/>
      <c r="T3319" s="31"/>
    </row>
    <row r="3320" spans="1:20" s="14" customFormat="1" x14ac:dyDescent="0.3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S3320" s="31"/>
      <c r="T3320" s="31"/>
    </row>
    <row r="3321" spans="1:20" s="14" customFormat="1" x14ac:dyDescent="0.3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S3321" s="31"/>
      <c r="T3321" s="31"/>
    </row>
    <row r="3322" spans="1:20" s="14" customFormat="1" x14ac:dyDescent="0.3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S3322" s="31"/>
      <c r="T3322" s="31"/>
    </row>
    <row r="3323" spans="1:20" s="14" customFormat="1" x14ac:dyDescent="0.3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S3323" s="31"/>
      <c r="T3323" s="31"/>
    </row>
    <row r="3324" spans="1:20" s="14" customFormat="1" x14ac:dyDescent="0.3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S3324" s="31"/>
      <c r="T3324" s="31"/>
    </row>
    <row r="3325" spans="1:20" s="14" customFormat="1" x14ac:dyDescent="0.3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S3325" s="31"/>
      <c r="T3325" s="31"/>
    </row>
    <row r="3326" spans="1:20" s="14" customFormat="1" x14ac:dyDescent="0.3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S3326" s="31"/>
      <c r="T3326" s="31"/>
    </row>
    <row r="3327" spans="1:20" s="14" customFormat="1" x14ac:dyDescent="0.3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S3327" s="31"/>
      <c r="T3327" s="31"/>
    </row>
    <row r="3328" spans="1:20" s="14" customFormat="1" x14ac:dyDescent="0.3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S3328" s="31"/>
      <c r="T3328" s="31"/>
    </row>
    <row r="3329" spans="1:20" s="14" customFormat="1" x14ac:dyDescent="0.3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S3329" s="31"/>
      <c r="T3329" s="31"/>
    </row>
    <row r="3330" spans="1:20" s="14" customFormat="1" x14ac:dyDescent="0.3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S3330" s="31"/>
      <c r="T3330" s="31"/>
    </row>
    <row r="3331" spans="1:20" s="14" customFormat="1" x14ac:dyDescent="0.3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S3331" s="31"/>
      <c r="T3331" s="31"/>
    </row>
    <row r="3332" spans="1:20" s="14" customFormat="1" x14ac:dyDescent="0.3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S3332" s="31"/>
      <c r="T3332" s="31"/>
    </row>
    <row r="3333" spans="1:20" s="14" customFormat="1" x14ac:dyDescent="0.3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S3333" s="31"/>
      <c r="T3333" s="31"/>
    </row>
    <row r="3334" spans="1:20" s="14" customFormat="1" x14ac:dyDescent="0.3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S3334" s="31"/>
      <c r="T3334" s="31"/>
    </row>
    <row r="3335" spans="1:20" s="14" customFormat="1" x14ac:dyDescent="0.3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S3335" s="31"/>
      <c r="T3335" s="31"/>
    </row>
    <row r="3336" spans="1:20" s="14" customFormat="1" x14ac:dyDescent="0.3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S3336" s="31"/>
      <c r="T3336" s="31"/>
    </row>
    <row r="3337" spans="1:20" s="14" customFormat="1" x14ac:dyDescent="0.3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S3337" s="31"/>
      <c r="T3337" s="31"/>
    </row>
    <row r="3338" spans="1:20" s="14" customFormat="1" x14ac:dyDescent="0.3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S3338" s="31"/>
      <c r="T3338" s="31"/>
    </row>
    <row r="3339" spans="1:20" s="14" customFormat="1" x14ac:dyDescent="0.3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S3339" s="31"/>
      <c r="T3339" s="31"/>
    </row>
    <row r="3340" spans="1:20" s="14" customFormat="1" x14ac:dyDescent="0.3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S3340" s="31"/>
      <c r="T3340" s="31"/>
    </row>
    <row r="3341" spans="1:20" s="14" customFormat="1" x14ac:dyDescent="0.3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S3341" s="31"/>
      <c r="T3341" s="31"/>
    </row>
    <row r="3342" spans="1:20" s="14" customFormat="1" x14ac:dyDescent="0.3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S3342" s="31"/>
      <c r="T3342" s="31"/>
    </row>
    <row r="3343" spans="1:20" s="14" customFormat="1" x14ac:dyDescent="0.3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S3343" s="31"/>
      <c r="T3343" s="31"/>
    </row>
    <row r="3344" spans="1:20" s="14" customFormat="1" x14ac:dyDescent="0.3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S3344" s="31"/>
      <c r="T3344" s="31"/>
    </row>
    <row r="3345" spans="1:20" s="14" customFormat="1" x14ac:dyDescent="0.3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S3345" s="31"/>
      <c r="T3345" s="31"/>
    </row>
    <row r="3346" spans="1:20" s="14" customFormat="1" x14ac:dyDescent="0.3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S3346" s="31"/>
      <c r="T3346" s="31"/>
    </row>
    <row r="3347" spans="1:20" s="14" customFormat="1" x14ac:dyDescent="0.3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S3347" s="31"/>
      <c r="T3347" s="31"/>
    </row>
    <row r="3348" spans="1:20" s="14" customFormat="1" x14ac:dyDescent="0.3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S3348" s="31"/>
      <c r="T3348" s="31"/>
    </row>
    <row r="3349" spans="1:20" s="14" customFormat="1" x14ac:dyDescent="0.3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S3349" s="31"/>
      <c r="T3349" s="31"/>
    </row>
    <row r="3350" spans="1:20" s="14" customFormat="1" x14ac:dyDescent="0.3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S3350" s="31"/>
      <c r="T3350" s="31"/>
    </row>
    <row r="3351" spans="1:20" s="14" customFormat="1" x14ac:dyDescent="0.3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S3351" s="31"/>
      <c r="T3351" s="31"/>
    </row>
    <row r="3352" spans="1:20" s="14" customFormat="1" x14ac:dyDescent="0.3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S3352" s="31"/>
      <c r="T3352" s="31"/>
    </row>
    <row r="3353" spans="1:20" s="14" customFormat="1" x14ac:dyDescent="0.3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S3353" s="31"/>
      <c r="T3353" s="31"/>
    </row>
    <row r="3354" spans="1:20" s="14" customFormat="1" x14ac:dyDescent="0.3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S3354" s="31"/>
      <c r="T3354" s="31"/>
    </row>
    <row r="3355" spans="1:20" s="14" customFormat="1" x14ac:dyDescent="0.3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S3355" s="31"/>
      <c r="T3355" s="31"/>
    </row>
    <row r="3356" spans="1:20" s="14" customFormat="1" x14ac:dyDescent="0.3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S3356" s="31"/>
      <c r="T3356" s="31"/>
    </row>
    <row r="3357" spans="1:20" s="14" customFormat="1" x14ac:dyDescent="0.3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S3357" s="31"/>
      <c r="T3357" s="31"/>
    </row>
    <row r="3358" spans="1:20" s="14" customFormat="1" x14ac:dyDescent="0.3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S3358" s="31"/>
      <c r="T3358" s="31"/>
    </row>
    <row r="3359" spans="1:20" s="14" customFormat="1" x14ac:dyDescent="0.3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S3359" s="31"/>
      <c r="T3359" s="31"/>
    </row>
    <row r="3360" spans="1:20" s="14" customFormat="1" x14ac:dyDescent="0.3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S3360" s="31"/>
      <c r="T3360" s="31"/>
    </row>
    <row r="3361" spans="1:20" s="14" customFormat="1" x14ac:dyDescent="0.3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S3361" s="31"/>
      <c r="T3361" s="31"/>
    </row>
    <row r="3362" spans="1:20" s="14" customFormat="1" x14ac:dyDescent="0.3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S3362" s="31"/>
      <c r="T3362" s="31"/>
    </row>
    <row r="3363" spans="1:20" s="14" customFormat="1" x14ac:dyDescent="0.3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S3363" s="31"/>
      <c r="T3363" s="31"/>
    </row>
    <row r="3364" spans="1:20" s="14" customFormat="1" x14ac:dyDescent="0.3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S3364" s="31"/>
      <c r="T3364" s="31"/>
    </row>
    <row r="3365" spans="1:20" s="14" customFormat="1" x14ac:dyDescent="0.3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S3365" s="31"/>
      <c r="T3365" s="31"/>
    </row>
    <row r="3366" spans="1:20" s="14" customFormat="1" x14ac:dyDescent="0.3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S3366" s="31"/>
      <c r="T3366" s="31"/>
    </row>
    <row r="3367" spans="1:20" s="14" customFormat="1" x14ac:dyDescent="0.3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S3367" s="31"/>
      <c r="T3367" s="31"/>
    </row>
    <row r="3368" spans="1:20" s="14" customFormat="1" x14ac:dyDescent="0.3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S3368" s="31"/>
      <c r="T3368" s="31"/>
    </row>
    <row r="3369" spans="1:20" s="14" customFormat="1" x14ac:dyDescent="0.3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S3369" s="31"/>
      <c r="T3369" s="31"/>
    </row>
    <row r="3370" spans="1:20" s="14" customFormat="1" x14ac:dyDescent="0.3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S3370" s="31"/>
      <c r="T3370" s="31"/>
    </row>
    <row r="3371" spans="1:20" s="14" customFormat="1" x14ac:dyDescent="0.3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S3371" s="31"/>
      <c r="T3371" s="31"/>
    </row>
    <row r="3372" spans="1:20" s="14" customFormat="1" x14ac:dyDescent="0.3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S3372" s="31"/>
      <c r="T3372" s="31"/>
    </row>
    <row r="3373" spans="1:20" s="14" customFormat="1" x14ac:dyDescent="0.3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S3373" s="31"/>
      <c r="T3373" s="31"/>
    </row>
    <row r="3374" spans="1:20" s="14" customFormat="1" x14ac:dyDescent="0.3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S3374" s="31"/>
      <c r="T3374" s="31"/>
    </row>
    <row r="3375" spans="1:20" s="14" customFormat="1" x14ac:dyDescent="0.3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S3375" s="31"/>
      <c r="T3375" s="31"/>
    </row>
    <row r="3376" spans="1:20" s="14" customFormat="1" x14ac:dyDescent="0.3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S3376" s="31"/>
      <c r="T3376" s="31"/>
    </row>
    <row r="3377" spans="1:20" s="14" customFormat="1" x14ac:dyDescent="0.3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S3377" s="31"/>
      <c r="T3377" s="31"/>
    </row>
    <row r="3378" spans="1:20" s="14" customFormat="1" x14ac:dyDescent="0.3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S3378" s="31"/>
      <c r="T3378" s="31"/>
    </row>
    <row r="3379" spans="1:20" s="14" customFormat="1" x14ac:dyDescent="0.3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S3379" s="31"/>
      <c r="T3379" s="31"/>
    </row>
    <row r="3380" spans="1:20" s="14" customFormat="1" x14ac:dyDescent="0.3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S3380" s="31"/>
      <c r="T3380" s="31"/>
    </row>
    <row r="3381" spans="1:20" s="14" customFormat="1" x14ac:dyDescent="0.3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S3381" s="31"/>
      <c r="T3381" s="31"/>
    </row>
    <row r="3382" spans="1:20" s="14" customFormat="1" x14ac:dyDescent="0.3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S3382" s="31"/>
      <c r="T3382" s="31"/>
    </row>
    <row r="3383" spans="1:20" s="14" customFormat="1" x14ac:dyDescent="0.3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S3383" s="31"/>
      <c r="T3383" s="31"/>
    </row>
    <row r="3384" spans="1:20" s="14" customFormat="1" x14ac:dyDescent="0.3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S3384" s="31"/>
      <c r="T3384" s="31"/>
    </row>
    <row r="3385" spans="1:20" s="14" customFormat="1" x14ac:dyDescent="0.3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S3385" s="31"/>
      <c r="T3385" s="31"/>
    </row>
    <row r="3386" spans="1:20" s="14" customFormat="1" x14ac:dyDescent="0.3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S3386" s="31"/>
      <c r="T3386" s="31"/>
    </row>
    <row r="3387" spans="1:20" s="14" customFormat="1" x14ac:dyDescent="0.3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S3387" s="31"/>
      <c r="T3387" s="31"/>
    </row>
    <row r="3388" spans="1:20" s="14" customFormat="1" x14ac:dyDescent="0.3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S3388" s="31"/>
      <c r="T3388" s="31"/>
    </row>
    <row r="3389" spans="1:20" s="14" customFormat="1" x14ac:dyDescent="0.3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S3389" s="31"/>
      <c r="T3389" s="31"/>
    </row>
    <row r="3390" spans="1:20" s="14" customFormat="1" x14ac:dyDescent="0.3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S3390" s="31"/>
      <c r="T3390" s="31"/>
    </row>
    <row r="3391" spans="1:20" s="14" customFormat="1" x14ac:dyDescent="0.3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S3391" s="31"/>
      <c r="T3391" s="31"/>
    </row>
    <row r="3392" spans="1:20" s="14" customFormat="1" x14ac:dyDescent="0.3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S3392" s="31"/>
      <c r="T3392" s="31"/>
    </row>
    <row r="3393" spans="1:20" s="14" customFormat="1" x14ac:dyDescent="0.3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S3393" s="31"/>
      <c r="T3393" s="31"/>
    </row>
    <row r="3394" spans="1:20" s="14" customFormat="1" x14ac:dyDescent="0.3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S3394" s="31"/>
      <c r="T3394" s="31"/>
    </row>
    <row r="3395" spans="1:20" s="14" customFormat="1" x14ac:dyDescent="0.3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S3395" s="31"/>
      <c r="T3395" s="31"/>
    </row>
    <row r="3396" spans="1:20" s="14" customFormat="1" x14ac:dyDescent="0.3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S3396" s="31"/>
      <c r="T3396" s="31"/>
    </row>
    <row r="3397" spans="1:20" s="14" customFormat="1" x14ac:dyDescent="0.3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S3397" s="31"/>
      <c r="T3397" s="31"/>
    </row>
    <row r="3398" spans="1:20" s="14" customFormat="1" x14ac:dyDescent="0.3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S3398" s="31"/>
      <c r="T3398" s="31"/>
    </row>
    <row r="3399" spans="1:20" s="14" customFormat="1" x14ac:dyDescent="0.3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S3399" s="31"/>
      <c r="T3399" s="31"/>
    </row>
    <row r="3400" spans="1:20" s="14" customFormat="1" x14ac:dyDescent="0.3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S3400" s="31"/>
      <c r="T3400" s="31"/>
    </row>
    <row r="3401" spans="1:20" s="14" customFormat="1" x14ac:dyDescent="0.3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S3401" s="31"/>
      <c r="T3401" s="31"/>
    </row>
    <row r="3402" spans="1:20" s="14" customFormat="1" x14ac:dyDescent="0.3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S3402" s="31"/>
      <c r="T3402" s="31"/>
    </row>
    <row r="3403" spans="1:20" s="14" customFormat="1" x14ac:dyDescent="0.3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S3403" s="31"/>
      <c r="T3403" s="31"/>
    </row>
    <row r="3404" spans="1:20" s="14" customFormat="1" x14ac:dyDescent="0.3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S3404" s="31"/>
      <c r="T3404" s="31"/>
    </row>
    <row r="3405" spans="1:20" s="14" customFormat="1" x14ac:dyDescent="0.3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S3405" s="31"/>
      <c r="T3405" s="31"/>
    </row>
    <row r="3406" spans="1:20" s="14" customFormat="1" x14ac:dyDescent="0.3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S3406" s="31"/>
      <c r="T3406" s="31"/>
    </row>
    <row r="3407" spans="1:20" s="14" customFormat="1" x14ac:dyDescent="0.3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S3407" s="31"/>
      <c r="T3407" s="31"/>
    </row>
    <row r="3408" spans="1:20" s="14" customFormat="1" x14ac:dyDescent="0.3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S3408" s="31"/>
      <c r="T3408" s="31"/>
    </row>
    <row r="3409" spans="1:20" s="14" customFormat="1" x14ac:dyDescent="0.3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S3409" s="31"/>
      <c r="T3409" s="31"/>
    </row>
    <row r="3410" spans="1:20" s="14" customFormat="1" x14ac:dyDescent="0.3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S3410" s="31"/>
      <c r="T3410" s="31"/>
    </row>
    <row r="3411" spans="1:20" s="14" customFormat="1" x14ac:dyDescent="0.3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S3411" s="31"/>
      <c r="T3411" s="31"/>
    </row>
    <row r="3412" spans="1:20" s="14" customFormat="1" x14ac:dyDescent="0.3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S3412" s="31"/>
      <c r="T3412" s="31"/>
    </row>
    <row r="3413" spans="1:20" s="14" customFormat="1" x14ac:dyDescent="0.3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S3413" s="31"/>
      <c r="T3413" s="31"/>
    </row>
    <row r="3414" spans="1:20" s="14" customFormat="1" x14ac:dyDescent="0.3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S3414" s="31"/>
      <c r="T3414" s="31"/>
    </row>
    <row r="3415" spans="1:20" s="14" customFormat="1" x14ac:dyDescent="0.3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S3415" s="31"/>
      <c r="T3415" s="31"/>
    </row>
    <row r="3416" spans="1:20" s="14" customFormat="1" x14ac:dyDescent="0.3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S3416" s="31"/>
      <c r="T3416" s="31"/>
    </row>
    <row r="3417" spans="1:20" s="14" customFormat="1" x14ac:dyDescent="0.3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S3417" s="31"/>
      <c r="T3417" s="31"/>
    </row>
    <row r="3418" spans="1:20" s="14" customFormat="1" x14ac:dyDescent="0.3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S3418" s="31"/>
      <c r="T3418" s="31"/>
    </row>
    <row r="3419" spans="1:20" s="14" customFormat="1" x14ac:dyDescent="0.3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S3419" s="31"/>
      <c r="T3419" s="31"/>
    </row>
    <row r="3420" spans="1:20" s="14" customFormat="1" x14ac:dyDescent="0.3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S3420" s="31"/>
      <c r="T3420" s="31"/>
    </row>
    <row r="3421" spans="1:20" s="14" customFormat="1" x14ac:dyDescent="0.3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S3421" s="31"/>
      <c r="T3421" s="31"/>
    </row>
    <row r="3422" spans="1:20" s="14" customFormat="1" x14ac:dyDescent="0.3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S3422" s="31"/>
      <c r="T3422" s="31"/>
    </row>
    <row r="3423" spans="1:20" s="14" customFormat="1" x14ac:dyDescent="0.3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S3423" s="31"/>
      <c r="T3423" s="31"/>
    </row>
    <row r="3424" spans="1:20" s="14" customFormat="1" x14ac:dyDescent="0.3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S3424" s="31"/>
      <c r="T3424" s="31"/>
    </row>
    <row r="3425" spans="1:20" s="14" customFormat="1" x14ac:dyDescent="0.3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S3425" s="31"/>
      <c r="T3425" s="31"/>
    </row>
    <row r="3426" spans="1:20" s="14" customFormat="1" x14ac:dyDescent="0.3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S3426" s="31"/>
      <c r="T3426" s="31"/>
    </row>
    <row r="3427" spans="1:20" s="14" customFormat="1" x14ac:dyDescent="0.3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S3427" s="31"/>
      <c r="T3427" s="31"/>
    </row>
    <row r="3428" spans="1:20" s="14" customFormat="1" x14ac:dyDescent="0.3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S3428" s="31"/>
      <c r="T3428" s="31"/>
    </row>
    <row r="3429" spans="1:20" s="14" customFormat="1" x14ac:dyDescent="0.3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S3429" s="31"/>
      <c r="T3429" s="31"/>
    </row>
    <row r="3430" spans="1:20" s="14" customFormat="1" x14ac:dyDescent="0.3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S3430" s="31"/>
      <c r="T3430" s="31"/>
    </row>
    <row r="3431" spans="1:20" s="14" customFormat="1" x14ac:dyDescent="0.3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S3431" s="31"/>
      <c r="T3431" s="31"/>
    </row>
    <row r="3432" spans="1:20" s="14" customFormat="1" x14ac:dyDescent="0.3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S3432" s="31"/>
      <c r="T3432" s="31"/>
    </row>
    <row r="3433" spans="1:20" s="14" customFormat="1" x14ac:dyDescent="0.3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S3433" s="31"/>
      <c r="T3433" s="31"/>
    </row>
    <row r="3434" spans="1:20" s="14" customFormat="1" x14ac:dyDescent="0.3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S3434" s="31"/>
      <c r="T3434" s="31"/>
    </row>
    <row r="3435" spans="1:20" s="14" customFormat="1" x14ac:dyDescent="0.3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S3435" s="31"/>
      <c r="T3435" s="31"/>
    </row>
    <row r="3436" spans="1:20" s="14" customFormat="1" x14ac:dyDescent="0.3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S3436" s="31"/>
      <c r="T3436" s="31"/>
    </row>
    <row r="3437" spans="1:20" s="14" customFormat="1" x14ac:dyDescent="0.3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S3437" s="31"/>
      <c r="T3437" s="31"/>
    </row>
    <row r="3438" spans="1:20" s="14" customFormat="1" x14ac:dyDescent="0.3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S3438" s="31"/>
      <c r="T3438" s="31"/>
    </row>
    <row r="3439" spans="1:20" s="14" customFormat="1" x14ac:dyDescent="0.3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S3439" s="31"/>
      <c r="T3439" s="31"/>
    </row>
    <row r="3440" spans="1:20" s="14" customFormat="1" x14ac:dyDescent="0.3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S3440" s="31"/>
      <c r="T3440" s="31"/>
    </row>
    <row r="3441" spans="1:20" s="14" customFormat="1" x14ac:dyDescent="0.3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S3441" s="31"/>
      <c r="T3441" s="31"/>
    </row>
    <row r="3442" spans="1:20" s="14" customFormat="1" x14ac:dyDescent="0.3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S3442" s="31"/>
      <c r="T3442" s="31"/>
    </row>
    <row r="3443" spans="1:20" s="14" customFormat="1" x14ac:dyDescent="0.3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S3443" s="31"/>
      <c r="T3443" s="31"/>
    </row>
    <row r="3444" spans="1:20" s="14" customFormat="1" x14ac:dyDescent="0.3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S3444" s="31"/>
      <c r="T3444" s="31"/>
    </row>
    <row r="3445" spans="1:20" s="14" customFormat="1" x14ac:dyDescent="0.3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S3445" s="31"/>
      <c r="T3445" s="31"/>
    </row>
    <row r="3446" spans="1:20" s="14" customFormat="1" x14ac:dyDescent="0.3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S3446" s="31"/>
      <c r="T3446" s="31"/>
    </row>
    <row r="3447" spans="1:20" s="14" customFormat="1" x14ac:dyDescent="0.3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S3447" s="31"/>
      <c r="T3447" s="31"/>
    </row>
    <row r="3448" spans="1:20" s="14" customFormat="1" x14ac:dyDescent="0.3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S3448" s="31"/>
      <c r="T3448" s="31"/>
    </row>
    <row r="3449" spans="1:20" s="14" customFormat="1" x14ac:dyDescent="0.3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S3449" s="31"/>
      <c r="T3449" s="31"/>
    </row>
    <row r="3450" spans="1:20" s="14" customFormat="1" x14ac:dyDescent="0.3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S3450" s="31"/>
      <c r="T3450" s="31"/>
    </row>
    <row r="3451" spans="1:20" s="14" customFormat="1" x14ac:dyDescent="0.3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S3451" s="31"/>
      <c r="T3451" s="31"/>
    </row>
    <row r="3452" spans="1:20" s="14" customFormat="1" x14ac:dyDescent="0.3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S3452" s="31"/>
      <c r="T3452" s="31"/>
    </row>
    <row r="3453" spans="1:20" s="14" customFormat="1" x14ac:dyDescent="0.3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S3453" s="31"/>
      <c r="T3453" s="31"/>
    </row>
    <row r="3454" spans="1:20" s="14" customFormat="1" x14ac:dyDescent="0.3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S3454" s="31"/>
      <c r="T3454" s="31"/>
    </row>
    <row r="3455" spans="1:20" s="14" customFormat="1" x14ac:dyDescent="0.3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S3455" s="31"/>
      <c r="T3455" s="31"/>
    </row>
    <row r="3456" spans="1:20" s="14" customFormat="1" x14ac:dyDescent="0.3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S3456" s="31"/>
      <c r="T3456" s="31"/>
    </row>
    <row r="3457" spans="1:20" s="14" customFormat="1" x14ac:dyDescent="0.3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S3457" s="31"/>
      <c r="T3457" s="31"/>
    </row>
    <row r="3458" spans="1:20" s="14" customFormat="1" x14ac:dyDescent="0.3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S3458" s="31"/>
      <c r="T3458" s="31"/>
    </row>
    <row r="3459" spans="1:20" s="14" customFormat="1" x14ac:dyDescent="0.3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S3459" s="31"/>
      <c r="T3459" s="31"/>
    </row>
    <row r="3460" spans="1:20" s="14" customFormat="1" x14ac:dyDescent="0.3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S3460" s="31"/>
      <c r="T3460" s="31"/>
    </row>
    <row r="3461" spans="1:20" s="14" customFormat="1" x14ac:dyDescent="0.3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S3461" s="31"/>
      <c r="T3461" s="31"/>
    </row>
    <row r="3462" spans="1:20" s="14" customFormat="1" x14ac:dyDescent="0.3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S3462" s="31"/>
      <c r="T3462" s="31"/>
    </row>
    <row r="3463" spans="1:20" s="14" customFormat="1" x14ac:dyDescent="0.3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S3463" s="31"/>
      <c r="T3463" s="31"/>
    </row>
    <row r="3464" spans="1:20" s="14" customFormat="1" x14ac:dyDescent="0.3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S3464" s="31"/>
      <c r="T3464" s="31"/>
    </row>
    <row r="3465" spans="1:20" s="14" customFormat="1" x14ac:dyDescent="0.3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S3465" s="31"/>
      <c r="T3465" s="31"/>
    </row>
    <row r="3466" spans="1:20" s="14" customFormat="1" x14ac:dyDescent="0.3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S3466" s="31"/>
      <c r="T3466" s="31"/>
    </row>
    <row r="3467" spans="1:20" s="14" customFormat="1" x14ac:dyDescent="0.3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S3467" s="31"/>
      <c r="T3467" s="31"/>
    </row>
    <row r="3468" spans="1:20" s="14" customFormat="1" x14ac:dyDescent="0.3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S3468" s="31"/>
      <c r="T3468" s="31"/>
    </row>
    <row r="3469" spans="1:20" s="14" customFormat="1" x14ac:dyDescent="0.3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S3469" s="31"/>
      <c r="T3469" s="31"/>
    </row>
    <row r="3470" spans="1:20" s="14" customFormat="1" x14ac:dyDescent="0.3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S3470" s="31"/>
      <c r="T3470" s="31"/>
    </row>
    <row r="3471" spans="1:20" s="14" customFormat="1" x14ac:dyDescent="0.3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S3471" s="31"/>
      <c r="T3471" s="31"/>
    </row>
    <row r="3472" spans="1:20" s="14" customFormat="1" x14ac:dyDescent="0.3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S3472" s="31"/>
      <c r="T3472" s="31"/>
    </row>
    <row r="3473" spans="1:20" s="14" customFormat="1" x14ac:dyDescent="0.3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S3473" s="31"/>
      <c r="T3473" s="31"/>
    </row>
    <row r="3474" spans="1:20" s="14" customFormat="1" x14ac:dyDescent="0.3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S3474" s="31"/>
      <c r="T3474" s="31"/>
    </row>
    <row r="3475" spans="1:20" s="14" customFormat="1" x14ac:dyDescent="0.3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S3475" s="31"/>
      <c r="T3475" s="31"/>
    </row>
    <row r="3476" spans="1:20" s="14" customFormat="1" x14ac:dyDescent="0.3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S3476" s="31"/>
      <c r="T3476" s="31"/>
    </row>
    <row r="3477" spans="1:20" s="14" customFormat="1" x14ac:dyDescent="0.3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S3477" s="31"/>
      <c r="T3477" s="31"/>
    </row>
    <row r="3478" spans="1:20" s="14" customFormat="1" x14ac:dyDescent="0.3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S3478" s="31"/>
      <c r="T3478" s="31"/>
    </row>
    <row r="3479" spans="1:20" s="14" customFormat="1" x14ac:dyDescent="0.3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S3479" s="31"/>
      <c r="T3479" s="31"/>
    </row>
    <row r="3480" spans="1:20" s="14" customFormat="1" x14ac:dyDescent="0.3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S3480" s="31"/>
      <c r="T3480" s="31"/>
    </row>
    <row r="3481" spans="1:20" s="14" customFormat="1" x14ac:dyDescent="0.3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S3481" s="31"/>
      <c r="T3481" s="31"/>
    </row>
    <row r="3482" spans="1:20" s="14" customFormat="1" x14ac:dyDescent="0.3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S3482" s="31"/>
      <c r="T3482" s="31"/>
    </row>
    <row r="3483" spans="1:20" s="14" customFormat="1" x14ac:dyDescent="0.3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S3483" s="31"/>
      <c r="T3483" s="31"/>
    </row>
    <row r="3484" spans="1:20" s="14" customFormat="1" x14ac:dyDescent="0.3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S3484" s="31"/>
      <c r="T3484" s="31"/>
    </row>
    <row r="3485" spans="1:20" s="14" customFormat="1" x14ac:dyDescent="0.3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S3485" s="31"/>
      <c r="T3485" s="31"/>
    </row>
    <row r="3486" spans="1:20" s="14" customFormat="1" x14ac:dyDescent="0.3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S3486" s="31"/>
      <c r="T3486" s="31"/>
    </row>
    <row r="3487" spans="1:20" s="14" customFormat="1" x14ac:dyDescent="0.3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S3487" s="31"/>
      <c r="T3487" s="31"/>
    </row>
    <row r="3488" spans="1:20" s="14" customFormat="1" x14ac:dyDescent="0.3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S3488" s="31"/>
      <c r="T3488" s="31"/>
    </row>
    <row r="3489" spans="1:20" s="14" customFormat="1" x14ac:dyDescent="0.3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S3489" s="31"/>
      <c r="T3489" s="31"/>
    </row>
    <row r="3490" spans="1:20" s="14" customFormat="1" x14ac:dyDescent="0.3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S3490" s="31"/>
      <c r="T3490" s="31"/>
    </row>
    <row r="3491" spans="1:20" s="14" customFormat="1" x14ac:dyDescent="0.3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S3491" s="31"/>
      <c r="T3491" s="31"/>
    </row>
    <row r="3492" spans="1:20" s="14" customFormat="1" x14ac:dyDescent="0.3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S3492" s="31"/>
      <c r="T3492" s="31"/>
    </row>
    <row r="3493" spans="1:20" s="14" customFormat="1" x14ac:dyDescent="0.3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S3493" s="31"/>
      <c r="T3493" s="31"/>
    </row>
    <row r="3494" spans="1:20" s="14" customFormat="1" x14ac:dyDescent="0.3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S3494" s="31"/>
      <c r="T3494" s="31"/>
    </row>
    <row r="3495" spans="1:20" s="14" customFormat="1" x14ac:dyDescent="0.3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S3495" s="31"/>
      <c r="T3495" s="31"/>
    </row>
    <row r="3496" spans="1:20" s="14" customFormat="1" x14ac:dyDescent="0.3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S3496" s="31"/>
      <c r="T3496" s="31"/>
    </row>
    <row r="3497" spans="1:20" s="14" customFormat="1" x14ac:dyDescent="0.3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S3497" s="31"/>
      <c r="T3497" s="31"/>
    </row>
    <row r="3498" spans="1:20" s="14" customFormat="1" x14ac:dyDescent="0.3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S3498" s="31"/>
      <c r="T3498" s="31"/>
    </row>
    <row r="3499" spans="1:20" s="14" customFormat="1" x14ac:dyDescent="0.3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S3499" s="31"/>
      <c r="T3499" s="31"/>
    </row>
    <row r="3500" spans="1:20" s="14" customFormat="1" x14ac:dyDescent="0.3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S3500" s="31"/>
      <c r="T3500" s="31"/>
    </row>
    <row r="3501" spans="1:20" s="14" customFormat="1" x14ac:dyDescent="0.3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S3501" s="31"/>
      <c r="T3501" s="31"/>
    </row>
    <row r="3502" spans="1:20" s="14" customFormat="1" x14ac:dyDescent="0.3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S3502" s="31"/>
      <c r="T3502" s="31"/>
    </row>
    <row r="3503" spans="1:20" s="14" customFormat="1" x14ac:dyDescent="0.3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S3503" s="31"/>
      <c r="T3503" s="31"/>
    </row>
    <row r="3504" spans="1:20" s="14" customFormat="1" x14ac:dyDescent="0.3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S3504" s="31"/>
      <c r="T3504" s="31"/>
    </row>
    <row r="3505" spans="1:20" s="14" customFormat="1" x14ac:dyDescent="0.3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S3505" s="31"/>
      <c r="T3505" s="31"/>
    </row>
    <row r="3506" spans="1:20" s="14" customFormat="1" x14ac:dyDescent="0.3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S3506" s="31"/>
      <c r="T3506" s="31"/>
    </row>
    <row r="3507" spans="1:20" s="14" customFormat="1" x14ac:dyDescent="0.3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S3507" s="31"/>
      <c r="T3507" s="31"/>
    </row>
    <row r="3508" spans="1:20" s="14" customFormat="1" x14ac:dyDescent="0.3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S3508" s="31"/>
      <c r="T3508" s="31"/>
    </row>
    <row r="3509" spans="1:20" s="14" customFormat="1" x14ac:dyDescent="0.3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S3509" s="31"/>
      <c r="T3509" s="31"/>
    </row>
    <row r="3510" spans="1:20" s="14" customFormat="1" x14ac:dyDescent="0.3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S3510" s="31"/>
      <c r="T3510" s="31"/>
    </row>
    <row r="3511" spans="1:20" s="14" customFormat="1" x14ac:dyDescent="0.3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S3511" s="31"/>
      <c r="T3511" s="31"/>
    </row>
    <row r="3512" spans="1:20" s="14" customFormat="1" x14ac:dyDescent="0.3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S3512" s="31"/>
      <c r="T3512" s="31"/>
    </row>
    <row r="3513" spans="1:20" s="14" customFormat="1" x14ac:dyDescent="0.3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S3513" s="31"/>
      <c r="T3513" s="31"/>
    </row>
    <row r="3514" spans="1:20" s="14" customFormat="1" x14ac:dyDescent="0.3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S3514" s="31"/>
      <c r="T3514" s="31"/>
    </row>
    <row r="3515" spans="1:20" s="14" customFormat="1" x14ac:dyDescent="0.3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S3515" s="31"/>
      <c r="T3515" s="31"/>
    </row>
    <row r="3516" spans="1:20" s="14" customFormat="1" x14ac:dyDescent="0.3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S3516" s="31"/>
      <c r="T3516" s="31"/>
    </row>
    <row r="3517" spans="1:20" s="14" customFormat="1" x14ac:dyDescent="0.3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S3517" s="31"/>
      <c r="T3517" s="31"/>
    </row>
    <row r="3518" spans="1:20" s="14" customFormat="1" x14ac:dyDescent="0.3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S3518" s="31"/>
      <c r="T3518" s="31"/>
    </row>
    <row r="3519" spans="1:20" s="14" customFormat="1" x14ac:dyDescent="0.3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S3519" s="31"/>
      <c r="T3519" s="31"/>
    </row>
    <row r="3520" spans="1:20" s="14" customFormat="1" x14ac:dyDescent="0.3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S3520" s="31"/>
      <c r="T3520" s="31"/>
    </row>
    <row r="3521" spans="1:20" s="14" customFormat="1" x14ac:dyDescent="0.3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S3521" s="31"/>
      <c r="T3521" s="31"/>
    </row>
    <row r="3522" spans="1:20" s="14" customFormat="1" x14ac:dyDescent="0.3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S3522" s="31"/>
      <c r="T3522" s="31"/>
    </row>
    <row r="3523" spans="1:20" s="14" customFormat="1" x14ac:dyDescent="0.3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S3523" s="31"/>
      <c r="T3523" s="31"/>
    </row>
    <row r="3524" spans="1:20" s="14" customFormat="1" x14ac:dyDescent="0.3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S3524" s="31"/>
      <c r="T3524" s="31"/>
    </row>
    <row r="3525" spans="1:20" s="14" customFormat="1" x14ac:dyDescent="0.3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S3525" s="31"/>
      <c r="T3525" s="31"/>
    </row>
    <row r="3526" spans="1:20" s="14" customFormat="1" x14ac:dyDescent="0.3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S3526" s="31"/>
      <c r="T3526" s="31"/>
    </row>
    <row r="3527" spans="1:20" s="14" customFormat="1" x14ac:dyDescent="0.3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S3527" s="31"/>
      <c r="T3527" s="31"/>
    </row>
    <row r="3528" spans="1:20" s="14" customFormat="1" x14ac:dyDescent="0.3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S3528" s="31"/>
      <c r="T3528" s="31"/>
    </row>
    <row r="3529" spans="1:20" s="14" customFormat="1" x14ac:dyDescent="0.3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S3529" s="31"/>
      <c r="T3529" s="31"/>
    </row>
    <row r="3530" spans="1:20" s="14" customFormat="1" x14ac:dyDescent="0.3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S3530" s="31"/>
      <c r="T3530" s="31"/>
    </row>
    <row r="3531" spans="1:20" s="14" customFormat="1" x14ac:dyDescent="0.3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S3531" s="31"/>
      <c r="T3531" s="31"/>
    </row>
    <row r="3532" spans="1:20" s="14" customFormat="1" x14ac:dyDescent="0.3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S3532" s="31"/>
      <c r="T3532" s="31"/>
    </row>
    <row r="3533" spans="1:20" s="14" customFormat="1" x14ac:dyDescent="0.3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S3533" s="31"/>
      <c r="T3533" s="31"/>
    </row>
    <row r="3534" spans="1:20" s="14" customFormat="1" x14ac:dyDescent="0.3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S3534" s="31"/>
      <c r="T3534" s="31"/>
    </row>
    <row r="3535" spans="1:20" s="14" customFormat="1" x14ac:dyDescent="0.3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S3535" s="31"/>
      <c r="T3535" s="31"/>
    </row>
    <row r="3536" spans="1:20" s="14" customFormat="1" x14ac:dyDescent="0.3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S3536" s="31"/>
      <c r="T3536" s="31"/>
    </row>
    <row r="3537" spans="1:20" s="14" customFormat="1" x14ac:dyDescent="0.3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S3537" s="31"/>
      <c r="T3537" s="31"/>
    </row>
    <row r="3538" spans="1:20" s="14" customFormat="1" x14ac:dyDescent="0.3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S3538" s="31"/>
      <c r="T3538" s="31"/>
    </row>
    <row r="3539" spans="1:20" s="14" customFormat="1" x14ac:dyDescent="0.3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S3539" s="31"/>
      <c r="T3539" s="31"/>
    </row>
    <row r="3540" spans="1:20" s="14" customFormat="1" x14ac:dyDescent="0.3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S3540" s="31"/>
      <c r="T3540" s="31"/>
    </row>
    <row r="3541" spans="1:20" s="14" customFormat="1" x14ac:dyDescent="0.3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S3541" s="31"/>
      <c r="T3541" s="31"/>
    </row>
    <row r="3542" spans="1:20" s="14" customFormat="1" x14ac:dyDescent="0.3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S3542" s="31"/>
      <c r="T3542" s="31"/>
    </row>
    <row r="3543" spans="1:20" s="14" customFormat="1" x14ac:dyDescent="0.3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S3543" s="31"/>
      <c r="T3543" s="31"/>
    </row>
    <row r="3544" spans="1:20" s="14" customFormat="1" x14ac:dyDescent="0.3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S3544" s="31"/>
      <c r="T3544" s="31"/>
    </row>
    <row r="3545" spans="1:20" s="14" customFormat="1" x14ac:dyDescent="0.3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S3545" s="31"/>
      <c r="T3545" s="31"/>
    </row>
    <row r="3546" spans="1:20" s="14" customFormat="1" x14ac:dyDescent="0.3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S3546" s="31"/>
      <c r="T3546" s="31"/>
    </row>
    <row r="3547" spans="1:20" s="14" customFormat="1" x14ac:dyDescent="0.3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S3547" s="31"/>
      <c r="T3547" s="31"/>
    </row>
    <row r="3548" spans="1:20" s="14" customFormat="1" x14ac:dyDescent="0.3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S3548" s="31"/>
      <c r="T3548" s="31"/>
    </row>
    <row r="3549" spans="1:20" s="14" customFormat="1" x14ac:dyDescent="0.3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S3549" s="31"/>
      <c r="T3549" s="31"/>
    </row>
    <row r="3550" spans="1:20" s="14" customFormat="1" x14ac:dyDescent="0.3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S3550" s="31"/>
      <c r="T3550" s="31"/>
    </row>
    <row r="3551" spans="1:20" s="14" customFormat="1" x14ac:dyDescent="0.3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S3551" s="31"/>
      <c r="T3551" s="31"/>
    </row>
    <row r="3552" spans="1:20" s="14" customFormat="1" x14ac:dyDescent="0.3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S3552" s="31"/>
      <c r="T3552" s="31"/>
    </row>
    <row r="3553" spans="1:20" s="14" customFormat="1" x14ac:dyDescent="0.3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S3553" s="31"/>
      <c r="T3553" s="31"/>
    </row>
    <row r="3554" spans="1:20" s="14" customFormat="1" x14ac:dyDescent="0.3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S3554" s="31"/>
      <c r="T3554" s="31"/>
    </row>
    <row r="3555" spans="1:20" s="14" customFormat="1" x14ac:dyDescent="0.3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S3555" s="31"/>
      <c r="T3555" s="31"/>
    </row>
    <row r="3556" spans="1:20" s="14" customFormat="1" x14ac:dyDescent="0.3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S3556" s="31"/>
      <c r="T3556" s="31"/>
    </row>
    <row r="3557" spans="1:20" s="14" customFormat="1" x14ac:dyDescent="0.3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S3557" s="31"/>
      <c r="T3557" s="31"/>
    </row>
    <row r="3558" spans="1:20" s="14" customFormat="1" x14ac:dyDescent="0.3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S3558" s="31"/>
      <c r="T3558" s="31"/>
    </row>
    <row r="3559" spans="1:20" s="14" customFormat="1" x14ac:dyDescent="0.3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S3559" s="31"/>
      <c r="T3559" s="31"/>
    </row>
    <row r="3560" spans="1:20" s="14" customFormat="1" x14ac:dyDescent="0.3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S3560" s="31"/>
      <c r="T3560" s="31"/>
    </row>
    <row r="3561" spans="1:20" s="14" customFormat="1" x14ac:dyDescent="0.3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S3561" s="31"/>
      <c r="T3561" s="31"/>
    </row>
    <row r="3562" spans="1:20" s="14" customFormat="1" x14ac:dyDescent="0.3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S3562" s="31"/>
      <c r="T3562" s="31"/>
    </row>
    <row r="3563" spans="1:20" s="14" customFormat="1" x14ac:dyDescent="0.3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S3563" s="31"/>
      <c r="T3563" s="31"/>
    </row>
    <row r="3564" spans="1:20" s="14" customFormat="1" x14ac:dyDescent="0.3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S3564" s="31"/>
      <c r="T3564" s="31"/>
    </row>
    <row r="3565" spans="1:20" s="14" customFormat="1" x14ac:dyDescent="0.3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S3565" s="31"/>
      <c r="T3565" s="31"/>
    </row>
    <row r="3566" spans="1:20" s="14" customFormat="1" x14ac:dyDescent="0.3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S3566" s="31"/>
      <c r="T3566" s="31"/>
    </row>
    <row r="3567" spans="1:20" s="14" customFormat="1" x14ac:dyDescent="0.3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S3567" s="31"/>
      <c r="T3567" s="31"/>
    </row>
    <row r="3568" spans="1:20" s="14" customFormat="1" x14ac:dyDescent="0.3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S3568" s="31"/>
      <c r="T3568" s="31"/>
    </row>
    <row r="3569" spans="1:20" s="14" customFormat="1" x14ac:dyDescent="0.3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S3569" s="31"/>
      <c r="T3569" s="31"/>
    </row>
    <row r="3570" spans="1:20" s="14" customFormat="1" x14ac:dyDescent="0.3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S3570" s="31"/>
      <c r="T3570" s="31"/>
    </row>
    <row r="3571" spans="1:20" s="14" customFormat="1" x14ac:dyDescent="0.3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S3571" s="31"/>
      <c r="T3571" s="31"/>
    </row>
    <row r="3572" spans="1:20" s="14" customFormat="1" x14ac:dyDescent="0.3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S3572" s="31"/>
      <c r="T3572" s="31"/>
    </row>
    <row r="3573" spans="1:20" s="14" customFormat="1" x14ac:dyDescent="0.3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S3573" s="31"/>
      <c r="T3573" s="31"/>
    </row>
    <row r="3574" spans="1:20" s="14" customFormat="1" x14ac:dyDescent="0.3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S3574" s="31"/>
      <c r="T3574" s="31"/>
    </row>
    <row r="3575" spans="1:20" s="14" customFormat="1" x14ac:dyDescent="0.3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S3575" s="31"/>
      <c r="T3575" s="31"/>
    </row>
    <row r="3576" spans="1:20" s="14" customFormat="1" x14ac:dyDescent="0.3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S3576" s="31"/>
      <c r="T3576" s="31"/>
    </row>
    <row r="3577" spans="1:20" s="14" customFormat="1" x14ac:dyDescent="0.3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S3577" s="31"/>
      <c r="T3577" s="31"/>
    </row>
    <row r="3578" spans="1:20" s="14" customFormat="1" x14ac:dyDescent="0.3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S3578" s="31"/>
      <c r="T3578" s="31"/>
    </row>
    <row r="3579" spans="1:20" s="14" customFormat="1" x14ac:dyDescent="0.3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S3579" s="31"/>
      <c r="T3579" s="31"/>
    </row>
    <row r="3580" spans="1:20" s="14" customFormat="1" x14ac:dyDescent="0.3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S3580" s="31"/>
      <c r="T3580" s="31"/>
    </row>
    <row r="3581" spans="1:20" s="14" customFormat="1" x14ac:dyDescent="0.3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S3581" s="31"/>
      <c r="T3581" s="31"/>
    </row>
    <row r="3582" spans="1:20" s="14" customFormat="1" x14ac:dyDescent="0.3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S3582" s="31"/>
      <c r="T3582" s="31"/>
    </row>
    <row r="3583" spans="1:20" s="14" customFormat="1" x14ac:dyDescent="0.3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S3583" s="31"/>
      <c r="T3583" s="31"/>
    </row>
    <row r="3584" spans="1:20" s="14" customFormat="1" x14ac:dyDescent="0.3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S3584" s="31"/>
      <c r="T3584" s="31"/>
    </row>
    <row r="3585" spans="1:20" s="14" customFormat="1" x14ac:dyDescent="0.3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S3585" s="31"/>
      <c r="T3585" s="31"/>
    </row>
    <row r="3586" spans="1:20" s="14" customFormat="1" x14ac:dyDescent="0.3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S3586" s="31"/>
      <c r="T3586" s="31"/>
    </row>
    <row r="3587" spans="1:20" s="14" customFormat="1" x14ac:dyDescent="0.3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S3587" s="31"/>
      <c r="T3587" s="31"/>
    </row>
    <row r="3588" spans="1:20" s="14" customFormat="1" x14ac:dyDescent="0.3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S3588" s="31"/>
      <c r="T3588" s="31"/>
    </row>
    <row r="3589" spans="1:20" s="14" customFormat="1" x14ac:dyDescent="0.3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S3589" s="31"/>
      <c r="T3589" s="31"/>
    </row>
    <row r="3590" spans="1:20" s="14" customFormat="1" x14ac:dyDescent="0.3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S3590" s="31"/>
      <c r="T3590" s="31"/>
    </row>
    <row r="3591" spans="1:20" s="14" customFormat="1" x14ac:dyDescent="0.3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S3591" s="31"/>
      <c r="T3591" s="31"/>
    </row>
    <row r="3592" spans="1:20" s="14" customFormat="1" x14ac:dyDescent="0.3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S3592" s="31"/>
      <c r="T3592" s="31"/>
    </row>
    <row r="3593" spans="1:20" s="14" customFormat="1" x14ac:dyDescent="0.3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S3593" s="31"/>
      <c r="T3593" s="31"/>
    </row>
    <row r="3594" spans="1:20" s="14" customFormat="1" x14ac:dyDescent="0.3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S3594" s="31"/>
      <c r="T3594" s="31"/>
    </row>
    <row r="3595" spans="1:20" s="14" customFormat="1" x14ac:dyDescent="0.3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S3595" s="31"/>
      <c r="T3595" s="31"/>
    </row>
    <row r="3596" spans="1:20" s="14" customFormat="1" x14ac:dyDescent="0.3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S3596" s="31"/>
      <c r="T3596" s="31"/>
    </row>
    <row r="3597" spans="1:20" s="14" customFormat="1" x14ac:dyDescent="0.3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S3597" s="31"/>
      <c r="T3597" s="31"/>
    </row>
    <row r="3598" spans="1:20" s="14" customFormat="1" x14ac:dyDescent="0.3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S3598" s="31"/>
      <c r="T3598" s="31"/>
    </row>
    <row r="3599" spans="1:20" s="14" customFormat="1" x14ac:dyDescent="0.3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S3599" s="31"/>
      <c r="T3599" s="31"/>
    </row>
    <row r="3600" spans="1:20" s="14" customFormat="1" x14ac:dyDescent="0.3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S3600" s="31"/>
      <c r="T3600" s="31"/>
    </row>
    <row r="3601" spans="1:20" s="14" customFormat="1" x14ac:dyDescent="0.3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S3601" s="31"/>
      <c r="T3601" s="31"/>
    </row>
    <row r="3602" spans="1:20" s="14" customFormat="1" x14ac:dyDescent="0.3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S3602" s="31"/>
      <c r="T3602" s="31"/>
    </row>
    <row r="3603" spans="1:20" s="14" customFormat="1" x14ac:dyDescent="0.3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S3603" s="31"/>
      <c r="T3603" s="31"/>
    </row>
    <row r="3604" spans="1:20" s="14" customFormat="1" x14ac:dyDescent="0.3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S3604" s="31"/>
      <c r="T3604" s="31"/>
    </row>
    <row r="3605" spans="1:20" s="14" customFormat="1" x14ac:dyDescent="0.3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S3605" s="31"/>
      <c r="T3605" s="31"/>
    </row>
    <row r="3606" spans="1:20" s="14" customFormat="1" x14ac:dyDescent="0.3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S3606" s="31"/>
      <c r="T3606" s="31"/>
    </row>
    <row r="3607" spans="1:20" s="14" customFormat="1" x14ac:dyDescent="0.3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S3607" s="31"/>
      <c r="T3607" s="31"/>
    </row>
    <row r="3608" spans="1:20" s="14" customFormat="1" x14ac:dyDescent="0.3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S3608" s="31"/>
      <c r="T3608" s="31"/>
    </row>
    <row r="3609" spans="1:20" s="14" customFormat="1" x14ac:dyDescent="0.3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S3609" s="31"/>
      <c r="T3609" s="31"/>
    </row>
    <row r="3610" spans="1:20" s="14" customFormat="1" x14ac:dyDescent="0.3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S3610" s="31"/>
      <c r="T3610" s="31"/>
    </row>
    <row r="3611" spans="1:20" s="14" customFormat="1" x14ac:dyDescent="0.3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S3611" s="31"/>
      <c r="T3611" s="31"/>
    </row>
    <row r="3612" spans="1:20" s="14" customFormat="1" x14ac:dyDescent="0.3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S3612" s="31"/>
      <c r="T3612" s="31"/>
    </row>
    <row r="3613" spans="1:20" s="14" customFormat="1" x14ac:dyDescent="0.3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S3613" s="31"/>
      <c r="T3613" s="31"/>
    </row>
    <row r="3614" spans="1:20" s="14" customFormat="1" x14ac:dyDescent="0.3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S3614" s="31"/>
      <c r="T3614" s="31"/>
    </row>
    <row r="3615" spans="1:20" s="14" customFormat="1" x14ac:dyDescent="0.3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S3615" s="31"/>
      <c r="T3615" s="31"/>
    </row>
    <row r="3616" spans="1:20" s="14" customFormat="1" x14ac:dyDescent="0.3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S3616" s="31"/>
      <c r="T3616" s="31"/>
    </row>
    <row r="3617" spans="1:20" s="14" customFormat="1" x14ac:dyDescent="0.3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S3617" s="31"/>
      <c r="T3617" s="31"/>
    </row>
    <row r="3618" spans="1:20" s="14" customFormat="1" x14ac:dyDescent="0.3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S3618" s="31"/>
      <c r="T3618" s="31"/>
    </row>
    <row r="3619" spans="1:20" s="14" customFormat="1" x14ac:dyDescent="0.3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S3619" s="31"/>
      <c r="T3619" s="31"/>
    </row>
    <row r="3620" spans="1:20" s="14" customFormat="1" x14ac:dyDescent="0.3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S3620" s="31"/>
      <c r="T3620" s="31"/>
    </row>
    <row r="3621" spans="1:20" s="14" customFormat="1" x14ac:dyDescent="0.3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S3621" s="31"/>
      <c r="T3621" s="31"/>
    </row>
    <row r="3622" spans="1:20" s="14" customFormat="1" x14ac:dyDescent="0.3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S3622" s="31"/>
      <c r="T3622" s="31"/>
    </row>
    <row r="3623" spans="1:20" s="14" customFormat="1" x14ac:dyDescent="0.3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S3623" s="31"/>
      <c r="T3623" s="31"/>
    </row>
    <row r="3624" spans="1:20" s="14" customFormat="1" x14ac:dyDescent="0.3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S3624" s="31"/>
      <c r="T3624" s="31"/>
    </row>
    <row r="3625" spans="1:20" s="14" customFormat="1" x14ac:dyDescent="0.3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S3625" s="31"/>
      <c r="T3625" s="31"/>
    </row>
    <row r="3626" spans="1:20" s="14" customFormat="1" x14ac:dyDescent="0.3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S3626" s="31"/>
      <c r="T3626" s="31"/>
    </row>
    <row r="3627" spans="1:20" s="14" customFormat="1" x14ac:dyDescent="0.3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S3627" s="31"/>
      <c r="T3627" s="31"/>
    </row>
    <row r="3628" spans="1:20" s="14" customFormat="1" x14ac:dyDescent="0.3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S3628" s="31"/>
      <c r="T3628" s="31"/>
    </row>
    <row r="3629" spans="1:20" s="14" customFormat="1" x14ac:dyDescent="0.3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S3629" s="31"/>
      <c r="T3629" s="31"/>
    </row>
    <row r="3630" spans="1:20" s="14" customFormat="1" x14ac:dyDescent="0.3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S3630" s="31"/>
      <c r="T3630" s="31"/>
    </row>
    <row r="3631" spans="1:20" s="14" customFormat="1" x14ac:dyDescent="0.3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S3631" s="31"/>
      <c r="T3631" s="31"/>
    </row>
    <row r="3632" spans="1:20" s="14" customFormat="1" x14ac:dyDescent="0.3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S3632" s="31"/>
      <c r="T3632" s="31"/>
    </row>
    <row r="3633" spans="1:20" s="14" customFormat="1" x14ac:dyDescent="0.3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S3633" s="31"/>
      <c r="T3633" s="31"/>
    </row>
    <row r="3634" spans="1:20" s="14" customFormat="1" x14ac:dyDescent="0.3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S3634" s="31"/>
      <c r="T3634" s="31"/>
    </row>
    <row r="3635" spans="1:20" s="14" customFormat="1" x14ac:dyDescent="0.3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S3635" s="31"/>
      <c r="T3635" s="31"/>
    </row>
    <row r="3636" spans="1:20" s="14" customFormat="1" x14ac:dyDescent="0.3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S3636" s="31"/>
      <c r="T3636" s="31"/>
    </row>
    <row r="3637" spans="1:20" s="14" customFormat="1" x14ac:dyDescent="0.3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S3637" s="31"/>
      <c r="T3637" s="31"/>
    </row>
    <row r="3638" spans="1:20" s="14" customFormat="1" x14ac:dyDescent="0.3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S3638" s="31"/>
      <c r="T3638" s="31"/>
    </row>
    <row r="3639" spans="1:20" s="14" customFormat="1" x14ac:dyDescent="0.3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S3639" s="31"/>
      <c r="T3639" s="31"/>
    </row>
    <row r="3640" spans="1:20" s="14" customFormat="1" x14ac:dyDescent="0.3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S3640" s="31"/>
      <c r="T3640" s="31"/>
    </row>
    <row r="3641" spans="1:20" s="14" customFormat="1" x14ac:dyDescent="0.3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S3641" s="31"/>
      <c r="T3641" s="31"/>
    </row>
    <row r="3642" spans="1:20" s="14" customFormat="1" x14ac:dyDescent="0.3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S3642" s="31"/>
      <c r="T3642" s="31"/>
    </row>
    <row r="3643" spans="1:20" s="14" customFormat="1" x14ac:dyDescent="0.3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S3643" s="31"/>
      <c r="T3643" s="31"/>
    </row>
    <row r="3644" spans="1:20" s="14" customFormat="1" x14ac:dyDescent="0.3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S3644" s="31"/>
      <c r="T3644" s="31"/>
    </row>
    <row r="3645" spans="1:20" s="14" customFormat="1" x14ac:dyDescent="0.3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S3645" s="31"/>
      <c r="T3645" s="31"/>
    </row>
    <row r="3646" spans="1:20" s="14" customFormat="1" x14ac:dyDescent="0.3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S3646" s="31"/>
      <c r="T3646" s="31"/>
    </row>
    <row r="3647" spans="1:20" s="14" customFormat="1" x14ac:dyDescent="0.3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S3647" s="31"/>
      <c r="T3647" s="31"/>
    </row>
    <row r="3648" spans="1:20" s="14" customFormat="1" x14ac:dyDescent="0.3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S3648" s="31"/>
      <c r="T3648" s="31"/>
    </row>
    <row r="3649" spans="1:20" s="14" customFormat="1" x14ac:dyDescent="0.3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S3649" s="31"/>
      <c r="T3649" s="31"/>
    </row>
    <row r="3650" spans="1:20" s="14" customFormat="1" x14ac:dyDescent="0.3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S3650" s="31"/>
      <c r="T3650" s="31"/>
    </row>
    <row r="3651" spans="1:20" s="14" customFormat="1" x14ac:dyDescent="0.3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S3651" s="31"/>
      <c r="T3651" s="31"/>
    </row>
    <row r="3652" spans="1:20" s="14" customFormat="1" x14ac:dyDescent="0.3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S3652" s="31"/>
      <c r="T3652" s="31"/>
    </row>
    <row r="3653" spans="1:20" s="14" customFormat="1" x14ac:dyDescent="0.3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S3653" s="31"/>
      <c r="T3653" s="31"/>
    </row>
    <row r="3654" spans="1:20" s="14" customFormat="1" x14ac:dyDescent="0.3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S3654" s="31"/>
      <c r="T3654" s="31"/>
    </row>
    <row r="3655" spans="1:20" s="14" customFormat="1" x14ac:dyDescent="0.3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S3655" s="31"/>
      <c r="T3655" s="31"/>
    </row>
    <row r="3656" spans="1:20" s="14" customFormat="1" x14ac:dyDescent="0.3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S3656" s="31"/>
      <c r="T3656" s="31"/>
    </row>
    <row r="3657" spans="1:20" s="14" customFormat="1" x14ac:dyDescent="0.3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S3657" s="31"/>
      <c r="T3657" s="31"/>
    </row>
    <row r="3658" spans="1:20" s="14" customFormat="1" x14ac:dyDescent="0.3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S3658" s="31"/>
      <c r="T3658" s="31"/>
    </row>
    <row r="3659" spans="1:20" s="14" customFormat="1" x14ac:dyDescent="0.3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S3659" s="31"/>
      <c r="T3659" s="31"/>
    </row>
    <row r="3660" spans="1:20" s="14" customFormat="1" x14ac:dyDescent="0.3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S3660" s="31"/>
      <c r="T3660" s="31"/>
    </row>
    <row r="3661" spans="1:20" s="14" customFormat="1" x14ac:dyDescent="0.3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S3661" s="31"/>
      <c r="T3661" s="31"/>
    </row>
    <row r="3662" spans="1:20" s="14" customFormat="1" x14ac:dyDescent="0.3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S3662" s="31"/>
      <c r="T3662" s="31"/>
    </row>
    <row r="3663" spans="1:20" s="14" customFormat="1" x14ac:dyDescent="0.3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S3663" s="31"/>
      <c r="T3663" s="31"/>
    </row>
    <row r="3664" spans="1:20" s="14" customFormat="1" x14ac:dyDescent="0.3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S3664" s="31"/>
      <c r="T3664" s="31"/>
    </row>
    <row r="3665" spans="1:20" s="14" customFormat="1" x14ac:dyDescent="0.3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S3665" s="31"/>
      <c r="T3665" s="31"/>
    </row>
    <row r="3666" spans="1:20" s="14" customFormat="1" x14ac:dyDescent="0.3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S3666" s="31"/>
      <c r="T3666" s="31"/>
    </row>
    <row r="3667" spans="1:20" s="14" customFormat="1" x14ac:dyDescent="0.3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S3667" s="31"/>
      <c r="T3667" s="31"/>
    </row>
    <row r="3668" spans="1:20" s="14" customFormat="1" x14ac:dyDescent="0.3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S3668" s="31"/>
      <c r="T3668" s="31"/>
    </row>
    <row r="3669" spans="1:20" s="14" customFormat="1" x14ac:dyDescent="0.3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S3669" s="31"/>
      <c r="T3669" s="31"/>
    </row>
    <row r="3670" spans="1:20" s="14" customFormat="1" x14ac:dyDescent="0.3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S3670" s="31"/>
      <c r="T3670" s="31"/>
    </row>
    <row r="3671" spans="1:20" s="14" customFormat="1" x14ac:dyDescent="0.3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S3671" s="31"/>
      <c r="T3671" s="31"/>
    </row>
    <row r="3672" spans="1:20" s="14" customFormat="1" x14ac:dyDescent="0.3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S3672" s="31"/>
      <c r="T3672" s="31"/>
    </row>
    <row r="3673" spans="1:20" s="14" customFormat="1" x14ac:dyDescent="0.3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S3673" s="31"/>
      <c r="T3673" s="31"/>
    </row>
    <row r="3674" spans="1:20" s="14" customFormat="1" x14ac:dyDescent="0.3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S3674" s="31"/>
      <c r="T3674" s="31"/>
    </row>
    <row r="3675" spans="1:20" s="14" customFormat="1" x14ac:dyDescent="0.3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S3675" s="31"/>
      <c r="T3675" s="31"/>
    </row>
    <row r="3676" spans="1:20" s="14" customFormat="1" x14ac:dyDescent="0.3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S3676" s="31"/>
      <c r="T3676" s="31"/>
    </row>
    <row r="3677" spans="1:20" s="14" customFormat="1" x14ac:dyDescent="0.3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S3677" s="31"/>
      <c r="T3677" s="31"/>
    </row>
    <row r="3678" spans="1:20" s="14" customFormat="1" x14ac:dyDescent="0.3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S3678" s="31"/>
      <c r="T3678" s="31"/>
    </row>
    <row r="3679" spans="1:20" s="14" customFormat="1" x14ac:dyDescent="0.3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S3679" s="31"/>
      <c r="T3679" s="31"/>
    </row>
    <row r="3680" spans="1:20" s="14" customFormat="1" x14ac:dyDescent="0.3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S3680" s="31"/>
      <c r="T3680" s="31"/>
    </row>
    <row r="3681" spans="1:20" s="14" customFormat="1" x14ac:dyDescent="0.3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S3681" s="31"/>
      <c r="T3681" s="31"/>
    </row>
    <row r="3682" spans="1:20" s="14" customFormat="1" x14ac:dyDescent="0.3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S3682" s="31"/>
      <c r="T3682" s="31"/>
    </row>
    <row r="3683" spans="1:20" s="14" customFormat="1" x14ac:dyDescent="0.3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S3683" s="31"/>
      <c r="T3683" s="31"/>
    </row>
    <row r="3684" spans="1:20" s="14" customFormat="1" x14ac:dyDescent="0.3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S3684" s="31"/>
      <c r="T3684" s="31"/>
    </row>
    <row r="3685" spans="1:20" s="14" customFormat="1" x14ac:dyDescent="0.3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S3685" s="31"/>
      <c r="T3685" s="31"/>
    </row>
    <row r="3686" spans="1:20" s="14" customFormat="1" x14ac:dyDescent="0.3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S3686" s="31"/>
      <c r="T3686" s="31"/>
    </row>
    <row r="3687" spans="1:20" s="14" customFormat="1" x14ac:dyDescent="0.3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S3687" s="31"/>
      <c r="T3687" s="31"/>
    </row>
    <row r="3688" spans="1:20" s="14" customFormat="1" x14ac:dyDescent="0.3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S3688" s="31"/>
      <c r="T3688" s="31"/>
    </row>
    <row r="3689" spans="1:20" s="14" customFormat="1" x14ac:dyDescent="0.3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S3689" s="31"/>
      <c r="T3689" s="31"/>
    </row>
    <row r="3690" spans="1:20" s="14" customFormat="1" x14ac:dyDescent="0.3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S3690" s="31"/>
      <c r="T3690" s="31"/>
    </row>
    <row r="3691" spans="1:20" s="14" customFormat="1" x14ac:dyDescent="0.3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S3691" s="31"/>
      <c r="T3691" s="31"/>
    </row>
    <row r="3692" spans="1:20" s="14" customFormat="1" x14ac:dyDescent="0.3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S3692" s="31"/>
      <c r="T3692" s="31"/>
    </row>
    <row r="3693" spans="1:20" s="14" customFormat="1" x14ac:dyDescent="0.3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S3693" s="31"/>
      <c r="T3693" s="31"/>
    </row>
    <row r="3694" spans="1:20" s="14" customFormat="1" x14ac:dyDescent="0.3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S3694" s="31"/>
      <c r="T3694" s="31"/>
    </row>
    <row r="3695" spans="1:20" s="14" customFormat="1" x14ac:dyDescent="0.3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S3695" s="31"/>
      <c r="T3695" s="31"/>
    </row>
    <row r="3696" spans="1:20" s="14" customFormat="1" x14ac:dyDescent="0.3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S3696" s="31"/>
      <c r="T3696" s="31"/>
    </row>
    <row r="3697" spans="1:20" s="14" customFormat="1" x14ac:dyDescent="0.3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S3697" s="31"/>
      <c r="T3697" s="31"/>
    </row>
    <row r="3698" spans="1:20" s="14" customFormat="1" x14ac:dyDescent="0.3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S3698" s="31"/>
      <c r="T3698" s="31"/>
    </row>
    <row r="3699" spans="1:20" s="14" customFormat="1" x14ac:dyDescent="0.3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S3699" s="31"/>
      <c r="T3699" s="31"/>
    </row>
    <row r="3700" spans="1:20" s="14" customFormat="1" x14ac:dyDescent="0.3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S3700" s="31"/>
      <c r="T3700" s="31"/>
    </row>
    <row r="3701" spans="1:20" s="14" customFormat="1" x14ac:dyDescent="0.3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S3701" s="31"/>
      <c r="T3701" s="31"/>
    </row>
    <row r="3702" spans="1:20" s="14" customFormat="1" x14ac:dyDescent="0.3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S3702" s="31"/>
      <c r="T3702" s="31"/>
    </row>
    <row r="3703" spans="1:20" s="14" customFormat="1" x14ac:dyDescent="0.3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S3703" s="31"/>
      <c r="T3703" s="31"/>
    </row>
    <row r="3704" spans="1:20" s="14" customFormat="1" x14ac:dyDescent="0.3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S3704" s="31"/>
      <c r="T3704" s="31"/>
    </row>
    <row r="3705" spans="1:20" s="14" customFormat="1" x14ac:dyDescent="0.3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S3705" s="31"/>
      <c r="T3705" s="31"/>
    </row>
    <row r="3706" spans="1:20" s="14" customFormat="1" x14ac:dyDescent="0.3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S3706" s="31"/>
      <c r="T3706" s="31"/>
    </row>
    <row r="3707" spans="1:20" s="14" customFormat="1" x14ac:dyDescent="0.3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S3707" s="31"/>
      <c r="T3707" s="31"/>
    </row>
    <row r="3708" spans="1:20" s="14" customFormat="1" x14ac:dyDescent="0.3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S3708" s="31"/>
      <c r="T3708" s="31"/>
    </row>
    <row r="3709" spans="1:20" s="14" customFormat="1" x14ac:dyDescent="0.3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S3709" s="31"/>
      <c r="T3709" s="31"/>
    </row>
    <row r="3710" spans="1:20" s="14" customFormat="1" x14ac:dyDescent="0.3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S3710" s="31"/>
      <c r="T3710" s="31"/>
    </row>
    <row r="3711" spans="1:20" s="14" customFormat="1" x14ac:dyDescent="0.3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S3711" s="31"/>
      <c r="T3711" s="31"/>
    </row>
    <row r="3712" spans="1:20" s="14" customFormat="1" x14ac:dyDescent="0.3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S3712" s="31"/>
      <c r="T3712" s="31"/>
    </row>
    <row r="3713" spans="1:20" s="14" customFormat="1" x14ac:dyDescent="0.3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S3713" s="31"/>
      <c r="T3713" s="31"/>
    </row>
    <row r="3714" spans="1:20" s="14" customFormat="1" x14ac:dyDescent="0.3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S3714" s="31"/>
      <c r="T3714" s="31"/>
    </row>
    <row r="3715" spans="1:20" s="14" customFormat="1" x14ac:dyDescent="0.3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S3715" s="31"/>
      <c r="T3715" s="31"/>
    </row>
    <row r="3716" spans="1:20" s="14" customFormat="1" x14ac:dyDescent="0.3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S3716" s="31"/>
      <c r="T3716" s="31"/>
    </row>
    <row r="3717" spans="1:20" s="14" customFormat="1" x14ac:dyDescent="0.3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S3717" s="31"/>
      <c r="T3717" s="31"/>
    </row>
    <row r="3718" spans="1:20" s="14" customFormat="1" x14ac:dyDescent="0.3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S3718" s="31"/>
      <c r="T3718" s="31"/>
    </row>
    <row r="3719" spans="1:20" s="14" customFormat="1" x14ac:dyDescent="0.3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S3719" s="31"/>
      <c r="T3719" s="31"/>
    </row>
    <row r="3720" spans="1:20" s="14" customFormat="1" x14ac:dyDescent="0.3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S3720" s="31"/>
      <c r="T3720" s="31"/>
    </row>
    <row r="3721" spans="1:20" s="14" customFormat="1" x14ac:dyDescent="0.3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S3721" s="31"/>
      <c r="T3721" s="31"/>
    </row>
    <row r="3722" spans="1:20" s="14" customFormat="1" x14ac:dyDescent="0.3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S3722" s="31"/>
      <c r="T3722" s="31"/>
    </row>
    <row r="3723" spans="1:20" s="14" customFormat="1" x14ac:dyDescent="0.3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S3723" s="31"/>
      <c r="T3723" s="31"/>
    </row>
    <row r="3724" spans="1:20" s="14" customFormat="1" x14ac:dyDescent="0.3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S3724" s="31"/>
      <c r="T3724" s="31"/>
    </row>
    <row r="3725" spans="1:20" s="14" customFormat="1" x14ac:dyDescent="0.3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S3725" s="31"/>
      <c r="T3725" s="31"/>
    </row>
    <row r="3726" spans="1:20" s="14" customFormat="1" x14ac:dyDescent="0.3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S3726" s="31"/>
      <c r="T3726" s="31"/>
    </row>
    <row r="3727" spans="1:20" s="14" customFormat="1" x14ac:dyDescent="0.3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S3727" s="31"/>
      <c r="T3727" s="31"/>
    </row>
    <row r="3728" spans="1:20" s="14" customFormat="1" x14ac:dyDescent="0.3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S3728" s="31"/>
      <c r="T3728" s="31"/>
    </row>
    <row r="3729" spans="1:20" s="14" customFormat="1" x14ac:dyDescent="0.3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S3729" s="31"/>
      <c r="T3729" s="31"/>
    </row>
    <row r="3730" spans="1:20" s="14" customFormat="1" x14ac:dyDescent="0.3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S3730" s="31"/>
      <c r="T3730" s="31"/>
    </row>
    <row r="3731" spans="1:20" s="14" customFormat="1" x14ac:dyDescent="0.3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S3731" s="31"/>
      <c r="T3731" s="31"/>
    </row>
    <row r="3732" spans="1:20" s="14" customFormat="1" x14ac:dyDescent="0.3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S3732" s="31"/>
      <c r="T3732" s="31"/>
    </row>
    <row r="3733" spans="1:20" s="14" customFormat="1" x14ac:dyDescent="0.3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S3733" s="31"/>
      <c r="T3733" s="31"/>
    </row>
    <row r="3734" spans="1:20" s="14" customFormat="1" x14ac:dyDescent="0.3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S3734" s="31"/>
      <c r="T3734" s="31"/>
    </row>
    <row r="3735" spans="1:20" s="14" customFormat="1" x14ac:dyDescent="0.3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S3735" s="31"/>
      <c r="T3735" s="31"/>
    </row>
    <row r="3736" spans="1:20" s="14" customFormat="1" x14ac:dyDescent="0.3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S3736" s="31"/>
      <c r="T3736" s="31"/>
    </row>
    <row r="3737" spans="1:20" s="14" customFormat="1" x14ac:dyDescent="0.3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S3737" s="31"/>
      <c r="T3737" s="31"/>
    </row>
    <row r="3738" spans="1:20" s="14" customFormat="1" x14ac:dyDescent="0.3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S3738" s="31"/>
      <c r="T3738" s="31"/>
    </row>
    <row r="3739" spans="1:20" s="14" customFormat="1" x14ac:dyDescent="0.3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S3739" s="31"/>
      <c r="T3739" s="31"/>
    </row>
    <row r="3740" spans="1:20" s="14" customFormat="1" x14ac:dyDescent="0.3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S3740" s="31"/>
      <c r="T3740" s="31"/>
    </row>
    <row r="3741" spans="1:20" s="14" customFormat="1" x14ac:dyDescent="0.3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S3741" s="31"/>
      <c r="T3741" s="31"/>
    </row>
    <row r="3742" spans="1:20" s="14" customFormat="1" x14ac:dyDescent="0.3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S3742" s="31"/>
      <c r="T3742" s="31"/>
    </row>
    <row r="3743" spans="1:20" s="14" customFormat="1" x14ac:dyDescent="0.3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S3743" s="31"/>
      <c r="T3743" s="31"/>
    </row>
    <row r="3744" spans="1:20" s="14" customFormat="1" x14ac:dyDescent="0.3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S3744" s="31"/>
      <c r="T3744" s="31"/>
    </row>
    <row r="3745" spans="1:20" s="14" customFormat="1" x14ac:dyDescent="0.3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S3745" s="31"/>
      <c r="T3745" s="31"/>
    </row>
    <row r="3746" spans="1:20" s="14" customFormat="1" x14ac:dyDescent="0.3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S3746" s="31"/>
      <c r="T3746" s="31"/>
    </row>
    <row r="3747" spans="1:20" s="14" customFormat="1" x14ac:dyDescent="0.3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S3747" s="31"/>
      <c r="T3747" s="31"/>
    </row>
    <row r="3748" spans="1:20" s="14" customFormat="1" x14ac:dyDescent="0.3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S3748" s="31"/>
      <c r="T3748" s="31"/>
    </row>
    <row r="3749" spans="1:20" s="14" customFormat="1" x14ac:dyDescent="0.3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S3749" s="31"/>
      <c r="T3749" s="31"/>
    </row>
    <row r="3750" spans="1:20" s="14" customFormat="1" x14ac:dyDescent="0.3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S3750" s="31"/>
      <c r="T3750" s="31"/>
    </row>
    <row r="3751" spans="1:20" s="14" customFormat="1" x14ac:dyDescent="0.3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S3751" s="31"/>
      <c r="T3751" s="31"/>
    </row>
    <row r="3752" spans="1:20" s="14" customFormat="1" x14ac:dyDescent="0.3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S3752" s="31"/>
      <c r="T3752" s="31"/>
    </row>
    <row r="3753" spans="1:20" s="14" customFormat="1" x14ac:dyDescent="0.3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S3753" s="31"/>
      <c r="T3753" s="31"/>
    </row>
    <row r="3754" spans="1:20" s="14" customFormat="1" x14ac:dyDescent="0.3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S3754" s="31"/>
      <c r="T3754" s="31"/>
    </row>
    <row r="3755" spans="1:20" s="14" customFormat="1" x14ac:dyDescent="0.3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S3755" s="31"/>
      <c r="T3755" s="31"/>
    </row>
    <row r="3756" spans="1:20" s="14" customFormat="1" x14ac:dyDescent="0.3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S3756" s="31"/>
      <c r="T3756" s="31"/>
    </row>
    <row r="3757" spans="1:20" s="14" customFormat="1" x14ac:dyDescent="0.3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S3757" s="31"/>
      <c r="T3757" s="31"/>
    </row>
    <row r="3758" spans="1:20" s="14" customFormat="1" x14ac:dyDescent="0.3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S3758" s="31"/>
      <c r="T3758" s="31"/>
    </row>
    <row r="3759" spans="1:20" s="14" customFormat="1" x14ac:dyDescent="0.3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S3759" s="31"/>
      <c r="T3759" s="31"/>
    </row>
    <row r="3760" spans="1:20" s="14" customFormat="1" x14ac:dyDescent="0.3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S3760" s="31"/>
      <c r="T3760" s="31"/>
    </row>
    <row r="3761" spans="1:20" s="14" customFormat="1" x14ac:dyDescent="0.3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S3761" s="31"/>
      <c r="T3761" s="31"/>
    </row>
    <row r="3762" spans="1:20" s="14" customFormat="1" x14ac:dyDescent="0.3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S3762" s="31"/>
      <c r="T3762" s="31"/>
    </row>
    <row r="3763" spans="1:20" s="14" customFormat="1" x14ac:dyDescent="0.3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S3763" s="31"/>
      <c r="T3763" s="31"/>
    </row>
    <row r="3764" spans="1:20" s="14" customFormat="1" x14ac:dyDescent="0.3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S3764" s="31"/>
      <c r="T3764" s="31"/>
    </row>
    <row r="3765" spans="1:20" s="14" customFormat="1" x14ac:dyDescent="0.3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S3765" s="31"/>
      <c r="T3765" s="31"/>
    </row>
    <row r="3766" spans="1:20" s="14" customFormat="1" x14ac:dyDescent="0.3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S3766" s="31"/>
      <c r="T3766" s="31"/>
    </row>
    <row r="3767" spans="1:20" s="14" customFormat="1" x14ac:dyDescent="0.3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S3767" s="31"/>
      <c r="T3767" s="31"/>
    </row>
    <row r="3768" spans="1:20" s="14" customFormat="1" x14ac:dyDescent="0.3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S3768" s="31"/>
      <c r="T3768" s="31"/>
    </row>
    <row r="3769" spans="1:20" s="14" customFormat="1" x14ac:dyDescent="0.3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S3769" s="31"/>
      <c r="T3769" s="31"/>
    </row>
    <row r="3770" spans="1:20" s="14" customFormat="1" x14ac:dyDescent="0.3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S3770" s="31"/>
      <c r="T3770" s="31"/>
    </row>
    <row r="3771" spans="1:20" s="14" customFormat="1" x14ac:dyDescent="0.3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S3771" s="31"/>
      <c r="T3771" s="31"/>
    </row>
    <row r="3772" spans="1:20" s="14" customFormat="1" x14ac:dyDescent="0.3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S3772" s="31"/>
      <c r="T3772" s="31"/>
    </row>
    <row r="3773" spans="1:20" s="14" customFormat="1" x14ac:dyDescent="0.3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S3773" s="31"/>
      <c r="T3773" s="31"/>
    </row>
    <row r="3774" spans="1:20" s="14" customFormat="1" x14ac:dyDescent="0.3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S3774" s="31"/>
      <c r="T3774" s="31"/>
    </row>
    <row r="3775" spans="1:20" s="14" customFormat="1" x14ac:dyDescent="0.3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S3775" s="31"/>
      <c r="T3775" s="31"/>
    </row>
    <row r="3776" spans="1:20" s="14" customFormat="1" x14ac:dyDescent="0.3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S3776" s="31"/>
      <c r="T3776" s="31"/>
    </row>
    <row r="3777" spans="1:20" s="14" customFormat="1" x14ac:dyDescent="0.3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S3777" s="31"/>
      <c r="T3777" s="31"/>
    </row>
    <row r="3778" spans="1:20" s="14" customFormat="1" x14ac:dyDescent="0.3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S3778" s="31"/>
      <c r="T3778" s="31"/>
    </row>
    <row r="3779" spans="1:20" s="14" customFormat="1" x14ac:dyDescent="0.3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S3779" s="31"/>
      <c r="T3779" s="31"/>
    </row>
    <row r="3780" spans="1:20" s="14" customFormat="1" x14ac:dyDescent="0.3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S3780" s="31"/>
      <c r="T3780" s="31"/>
    </row>
    <row r="3781" spans="1:20" s="14" customFormat="1" x14ac:dyDescent="0.3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S3781" s="31"/>
      <c r="T3781" s="31"/>
    </row>
    <row r="3782" spans="1:20" s="14" customFormat="1" x14ac:dyDescent="0.3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S3782" s="31"/>
      <c r="T3782" s="31"/>
    </row>
    <row r="3783" spans="1:20" s="14" customFormat="1" x14ac:dyDescent="0.3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S3783" s="31"/>
      <c r="T3783" s="31"/>
    </row>
    <row r="3784" spans="1:20" s="14" customFormat="1" x14ac:dyDescent="0.3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S3784" s="31"/>
      <c r="T3784" s="31"/>
    </row>
    <row r="3785" spans="1:20" s="14" customFormat="1" x14ac:dyDescent="0.3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S3785" s="31"/>
      <c r="T3785" s="31"/>
    </row>
    <row r="3786" spans="1:20" s="14" customFormat="1" x14ac:dyDescent="0.3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S3786" s="31"/>
      <c r="T3786" s="31"/>
    </row>
    <row r="3787" spans="1:20" s="14" customFormat="1" x14ac:dyDescent="0.3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S3787" s="31"/>
      <c r="T3787" s="31"/>
    </row>
    <row r="3788" spans="1:20" s="14" customFormat="1" x14ac:dyDescent="0.3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S3788" s="31"/>
      <c r="T3788" s="31"/>
    </row>
    <row r="3789" spans="1:20" s="14" customFormat="1" x14ac:dyDescent="0.3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S3789" s="31"/>
      <c r="T3789" s="31"/>
    </row>
    <row r="3790" spans="1:20" s="14" customFormat="1" x14ac:dyDescent="0.3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S3790" s="31"/>
      <c r="T3790" s="31"/>
    </row>
    <row r="3791" spans="1:20" s="14" customFormat="1" x14ac:dyDescent="0.3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S3791" s="31"/>
      <c r="T3791" s="31"/>
    </row>
    <row r="3792" spans="1:20" s="14" customFormat="1" x14ac:dyDescent="0.3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S3792" s="31"/>
      <c r="T3792" s="31"/>
    </row>
    <row r="3793" spans="1:20" s="14" customFormat="1" x14ac:dyDescent="0.3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S3793" s="31"/>
      <c r="T3793" s="31"/>
    </row>
    <row r="3794" spans="1:20" s="14" customFormat="1" x14ac:dyDescent="0.3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S3794" s="31"/>
      <c r="T3794" s="31"/>
    </row>
    <row r="3795" spans="1:20" s="14" customFormat="1" x14ac:dyDescent="0.3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S3795" s="31"/>
      <c r="T3795" s="31"/>
    </row>
    <row r="3796" spans="1:20" s="14" customFormat="1" x14ac:dyDescent="0.3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S3796" s="31"/>
      <c r="T3796" s="31"/>
    </row>
    <row r="3797" spans="1:20" s="14" customFormat="1" x14ac:dyDescent="0.3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S3797" s="31"/>
      <c r="T3797" s="31"/>
    </row>
    <row r="3798" spans="1:20" s="14" customFormat="1" x14ac:dyDescent="0.3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S3798" s="31"/>
      <c r="T3798" s="31"/>
    </row>
    <row r="3799" spans="1:20" s="14" customFormat="1" x14ac:dyDescent="0.3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S3799" s="31"/>
      <c r="T3799" s="31"/>
    </row>
    <row r="3800" spans="1:20" s="14" customFormat="1" x14ac:dyDescent="0.3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S3800" s="31"/>
      <c r="T3800" s="31"/>
    </row>
    <row r="3801" spans="1:20" s="14" customFormat="1" x14ac:dyDescent="0.3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S3801" s="31"/>
      <c r="T3801" s="31"/>
    </row>
    <row r="3802" spans="1:20" s="14" customFormat="1" x14ac:dyDescent="0.3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S3802" s="31"/>
      <c r="T3802" s="31"/>
    </row>
    <row r="3803" spans="1:20" s="14" customFormat="1" x14ac:dyDescent="0.3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S3803" s="31"/>
      <c r="T3803" s="31"/>
    </row>
    <row r="3804" spans="1:20" s="14" customFormat="1" x14ac:dyDescent="0.3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S3804" s="31"/>
      <c r="T3804" s="31"/>
    </row>
    <row r="3805" spans="1:20" s="14" customFormat="1" x14ac:dyDescent="0.3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S3805" s="31"/>
      <c r="T3805" s="31"/>
    </row>
    <row r="3806" spans="1:20" s="14" customFormat="1" x14ac:dyDescent="0.3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S3806" s="31"/>
      <c r="T3806" s="31"/>
    </row>
    <row r="3807" spans="1:20" s="14" customFormat="1" x14ac:dyDescent="0.3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S3807" s="31"/>
      <c r="T3807" s="31"/>
    </row>
    <row r="3808" spans="1:20" s="14" customFormat="1" x14ac:dyDescent="0.3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S3808" s="31"/>
      <c r="T3808" s="31"/>
    </row>
    <row r="3809" spans="1:20" s="14" customFormat="1" x14ac:dyDescent="0.3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S3809" s="31"/>
      <c r="T3809" s="31"/>
    </row>
    <row r="3810" spans="1:20" s="14" customFormat="1" x14ac:dyDescent="0.3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S3810" s="31"/>
      <c r="T3810" s="31"/>
    </row>
    <row r="3811" spans="1:20" s="14" customFormat="1" x14ac:dyDescent="0.3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S3811" s="31"/>
      <c r="T3811" s="31"/>
    </row>
    <row r="3812" spans="1:20" s="14" customFormat="1" x14ac:dyDescent="0.3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S3812" s="31"/>
      <c r="T3812" s="31"/>
    </row>
    <row r="3813" spans="1:20" s="14" customFormat="1" x14ac:dyDescent="0.3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S3813" s="31"/>
      <c r="T3813" s="31"/>
    </row>
    <row r="3814" spans="1:20" s="14" customFormat="1" x14ac:dyDescent="0.3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S3814" s="31"/>
      <c r="T3814" s="31"/>
    </row>
    <row r="3815" spans="1:20" s="14" customFormat="1" x14ac:dyDescent="0.3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S3815" s="31"/>
      <c r="T3815" s="31"/>
    </row>
    <row r="3816" spans="1:20" s="14" customFormat="1" x14ac:dyDescent="0.3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S3816" s="31"/>
      <c r="T3816" s="31"/>
    </row>
    <row r="3817" spans="1:20" s="14" customFormat="1" x14ac:dyDescent="0.3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S3817" s="31"/>
      <c r="T3817" s="31"/>
    </row>
    <row r="3818" spans="1:20" s="14" customFormat="1" x14ac:dyDescent="0.3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S3818" s="31"/>
      <c r="T3818" s="31"/>
    </row>
    <row r="3819" spans="1:20" s="14" customFormat="1" x14ac:dyDescent="0.3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S3819" s="31"/>
      <c r="T3819" s="31"/>
    </row>
    <row r="3820" spans="1:20" s="14" customFormat="1" x14ac:dyDescent="0.3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S3820" s="31"/>
      <c r="T3820" s="31"/>
    </row>
    <row r="3821" spans="1:20" s="14" customFormat="1" x14ac:dyDescent="0.3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S3821" s="31"/>
      <c r="T3821" s="31"/>
    </row>
    <row r="3822" spans="1:20" s="14" customFormat="1" x14ac:dyDescent="0.3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S3822" s="31"/>
      <c r="T3822" s="31"/>
    </row>
    <row r="3823" spans="1:20" s="14" customFormat="1" x14ac:dyDescent="0.3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S3823" s="31"/>
      <c r="T3823" s="31"/>
    </row>
    <row r="3824" spans="1:20" s="14" customFormat="1" x14ac:dyDescent="0.3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S3824" s="31"/>
      <c r="T3824" s="31"/>
    </row>
    <row r="3825" spans="1:20" s="14" customFormat="1" x14ac:dyDescent="0.3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S3825" s="31"/>
      <c r="T3825" s="31"/>
    </row>
    <row r="3826" spans="1:20" s="14" customFormat="1" x14ac:dyDescent="0.3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S3826" s="31"/>
      <c r="T3826" s="31"/>
    </row>
    <row r="3827" spans="1:20" s="14" customFormat="1" x14ac:dyDescent="0.3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S3827" s="31"/>
      <c r="T3827" s="31"/>
    </row>
    <row r="3828" spans="1:20" s="14" customFormat="1" x14ac:dyDescent="0.3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S3828" s="31"/>
      <c r="T3828" s="31"/>
    </row>
    <row r="3829" spans="1:20" s="14" customFormat="1" x14ac:dyDescent="0.3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S3829" s="31"/>
      <c r="T3829" s="31"/>
    </row>
    <row r="3830" spans="1:20" s="14" customFormat="1" x14ac:dyDescent="0.3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S3830" s="31"/>
      <c r="T3830" s="31"/>
    </row>
    <row r="3831" spans="1:20" s="14" customFormat="1" x14ac:dyDescent="0.3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S3831" s="31"/>
      <c r="T3831" s="31"/>
    </row>
    <row r="3832" spans="1:20" s="14" customFormat="1" x14ac:dyDescent="0.3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S3832" s="31"/>
      <c r="T3832" s="31"/>
    </row>
    <row r="3833" spans="1:20" s="14" customFormat="1" x14ac:dyDescent="0.3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S3833" s="31"/>
      <c r="T3833" s="31"/>
    </row>
    <row r="3834" spans="1:20" s="14" customFormat="1" x14ac:dyDescent="0.3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S3834" s="31"/>
      <c r="T3834" s="31"/>
    </row>
    <row r="3835" spans="1:20" s="14" customFormat="1" x14ac:dyDescent="0.3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S3835" s="31"/>
      <c r="T3835" s="31"/>
    </row>
    <row r="3836" spans="1:20" s="14" customFormat="1" x14ac:dyDescent="0.3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S3836" s="31"/>
      <c r="T3836" s="31"/>
    </row>
    <row r="3837" spans="1:20" s="14" customFormat="1" x14ac:dyDescent="0.3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S3837" s="31"/>
      <c r="T3837" s="31"/>
    </row>
    <row r="3838" spans="1:20" s="14" customFormat="1" x14ac:dyDescent="0.3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S3838" s="31"/>
      <c r="T3838" s="31"/>
    </row>
    <row r="3839" spans="1:20" s="14" customFormat="1" x14ac:dyDescent="0.3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S3839" s="31"/>
      <c r="T3839" s="31"/>
    </row>
    <row r="3840" spans="1:20" s="14" customFormat="1" x14ac:dyDescent="0.3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S3840" s="31"/>
      <c r="T3840" s="31"/>
    </row>
    <row r="3841" spans="1:20" s="14" customFormat="1" x14ac:dyDescent="0.3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S3841" s="31"/>
      <c r="T3841" s="31"/>
    </row>
    <row r="3842" spans="1:20" s="14" customFormat="1" x14ac:dyDescent="0.3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S3842" s="31"/>
      <c r="T3842" s="31"/>
    </row>
    <row r="3843" spans="1:20" s="14" customFormat="1" x14ac:dyDescent="0.3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S3843" s="31"/>
      <c r="T3843" s="31"/>
    </row>
    <row r="3844" spans="1:20" s="14" customFormat="1" x14ac:dyDescent="0.3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S3844" s="31"/>
      <c r="T3844" s="31"/>
    </row>
    <row r="3845" spans="1:20" s="14" customFormat="1" x14ac:dyDescent="0.3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S3845" s="31"/>
      <c r="T3845" s="31"/>
    </row>
    <row r="3846" spans="1:20" s="14" customFormat="1" x14ac:dyDescent="0.3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S3846" s="31"/>
      <c r="T3846" s="31"/>
    </row>
    <row r="3847" spans="1:20" s="14" customFormat="1" x14ac:dyDescent="0.3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S3847" s="31"/>
      <c r="T3847" s="31"/>
    </row>
    <row r="3848" spans="1:20" s="14" customFormat="1" x14ac:dyDescent="0.3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S3848" s="31"/>
      <c r="T3848" s="31"/>
    </row>
    <row r="3849" spans="1:20" s="14" customFormat="1" x14ac:dyDescent="0.3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S3849" s="31"/>
      <c r="T3849" s="31"/>
    </row>
    <row r="3850" spans="1:20" s="14" customFormat="1" x14ac:dyDescent="0.3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S3850" s="31"/>
      <c r="T3850" s="31"/>
    </row>
    <row r="3851" spans="1:20" s="14" customFormat="1" x14ac:dyDescent="0.3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S3851" s="31"/>
      <c r="T3851" s="31"/>
    </row>
    <row r="3852" spans="1:20" s="14" customFormat="1" x14ac:dyDescent="0.3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S3852" s="31"/>
      <c r="T3852" s="31"/>
    </row>
    <row r="3853" spans="1:20" s="14" customFormat="1" x14ac:dyDescent="0.3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S3853" s="31"/>
      <c r="T3853" s="31"/>
    </row>
    <row r="3854" spans="1:20" s="14" customFormat="1" x14ac:dyDescent="0.3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S3854" s="31"/>
      <c r="T3854" s="31"/>
    </row>
    <row r="3855" spans="1:20" s="14" customFormat="1" x14ac:dyDescent="0.3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S3855" s="31"/>
      <c r="T3855" s="31"/>
    </row>
    <row r="3856" spans="1:20" s="14" customFormat="1" x14ac:dyDescent="0.3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S3856" s="31"/>
      <c r="T3856" s="31"/>
    </row>
    <row r="3857" spans="1:20" s="14" customFormat="1" x14ac:dyDescent="0.3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S3857" s="31"/>
      <c r="T3857" s="31"/>
    </row>
    <row r="3858" spans="1:20" s="14" customFormat="1" x14ac:dyDescent="0.3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S3858" s="31"/>
      <c r="T3858" s="31"/>
    </row>
    <row r="3859" spans="1:20" s="14" customFormat="1" x14ac:dyDescent="0.3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S3859" s="31"/>
      <c r="T3859" s="31"/>
    </row>
    <row r="3860" spans="1:20" s="14" customFormat="1" x14ac:dyDescent="0.3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S3860" s="31"/>
      <c r="T3860" s="31"/>
    </row>
    <row r="3861" spans="1:20" s="14" customFormat="1" x14ac:dyDescent="0.3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S3861" s="31"/>
      <c r="T3861" s="31"/>
    </row>
    <row r="3862" spans="1:20" s="14" customFormat="1" x14ac:dyDescent="0.3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S3862" s="31"/>
      <c r="T3862" s="31"/>
    </row>
    <row r="3863" spans="1:20" s="14" customFormat="1" x14ac:dyDescent="0.3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S3863" s="31"/>
      <c r="T3863" s="31"/>
    </row>
    <row r="3864" spans="1:20" s="14" customFormat="1" x14ac:dyDescent="0.3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S3864" s="31"/>
      <c r="T3864" s="31"/>
    </row>
    <row r="3865" spans="1:20" s="14" customFormat="1" x14ac:dyDescent="0.3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S3865" s="31"/>
      <c r="T3865" s="31"/>
    </row>
    <row r="3866" spans="1:20" s="14" customFormat="1" x14ac:dyDescent="0.3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S3866" s="31"/>
      <c r="T3866" s="31"/>
    </row>
    <row r="3867" spans="1:20" s="14" customFormat="1" x14ac:dyDescent="0.3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S3867" s="31"/>
      <c r="T3867" s="31"/>
    </row>
    <row r="3868" spans="1:20" s="14" customFormat="1" x14ac:dyDescent="0.3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S3868" s="31"/>
      <c r="T3868" s="31"/>
    </row>
    <row r="3869" spans="1:20" s="14" customFormat="1" x14ac:dyDescent="0.3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S3869" s="31"/>
      <c r="T3869" s="31"/>
    </row>
    <row r="3870" spans="1:20" s="14" customFormat="1" x14ac:dyDescent="0.3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S3870" s="31"/>
      <c r="T3870" s="31"/>
    </row>
    <row r="3871" spans="1:20" s="14" customFormat="1" x14ac:dyDescent="0.3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S3871" s="31"/>
      <c r="T3871" s="31"/>
    </row>
    <row r="3872" spans="1:20" s="14" customFormat="1" x14ac:dyDescent="0.3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S3872" s="31"/>
      <c r="T3872" s="31"/>
    </row>
    <row r="3873" spans="1:20" s="14" customFormat="1" x14ac:dyDescent="0.3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S3873" s="31"/>
      <c r="T3873" s="31"/>
    </row>
    <row r="3874" spans="1:20" s="14" customFormat="1" x14ac:dyDescent="0.3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S3874" s="31"/>
      <c r="T3874" s="31"/>
    </row>
    <row r="3875" spans="1:20" s="14" customFormat="1" x14ac:dyDescent="0.3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S3875" s="31"/>
      <c r="T3875" s="31"/>
    </row>
    <row r="3876" spans="1:20" s="14" customFormat="1" x14ac:dyDescent="0.3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S3876" s="31"/>
      <c r="T3876" s="31"/>
    </row>
    <row r="3877" spans="1:20" s="14" customFormat="1" x14ac:dyDescent="0.3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S3877" s="31"/>
      <c r="T3877" s="31"/>
    </row>
    <row r="3878" spans="1:20" s="14" customFormat="1" x14ac:dyDescent="0.3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S3878" s="31"/>
      <c r="T3878" s="31"/>
    </row>
    <row r="3879" spans="1:20" s="14" customFormat="1" x14ac:dyDescent="0.3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S3879" s="31"/>
      <c r="T3879" s="31"/>
    </row>
    <row r="3880" spans="1:20" s="14" customFormat="1" x14ac:dyDescent="0.3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S3880" s="31"/>
      <c r="T3880" s="31"/>
    </row>
    <row r="3881" spans="1:20" s="14" customFormat="1" x14ac:dyDescent="0.3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S3881" s="31"/>
      <c r="T3881" s="31"/>
    </row>
    <row r="3882" spans="1:20" s="14" customFormat="1" x14ac:dyDescent="0.3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S3882" s="31"/>
      <c r="T3882" s="31"/>
    </row>
    <row r="3883" spans="1:20" s="14" customFormat="1" x14ac:dyDescent="0.3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S3883" s="31"/>
      <c r="T3883" s="31"/>
    </row>
    <row r="3884" spans="1:20" s="14" customFormat="1" x14ac:dyDescent="0.3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S3884" s="31"/>
      <c r="T3884" s="31"/>
    </row>
    <row r="3885" spans="1:20" s="14" customFormat="1" x14ac:dyDescent="0.3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S3885" s="31"/>
      <c r="T3885" s="31"/>
    </row>
    <row r="3886" spans="1:20" s="14" customFormat="1" x14ac:dyDescent="0.3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S3886" s="31"/>
      <c r="T3886" s="31"/>
    </row>
    <row r="3887" spans="1:20" s="14" customFormat="1" x14ac:dyDescent="0.3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S3887" s="31"/>
      <c r="T3887" s="31"/>
    </row>
    <row r="3888" spans="1:20" s="14" customFormat="1" x14ac:dyDescent="0.3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S3888" s="31"/>
      <c r="T3888" s="31"/>
    </row>
    <row r="3889" spans="1:20" s="14" customFormat="1" x14ac:dyDescent="0.3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S3889" s="31"/>
      <c r="T3889" s="31"/>
    </row>
    <row r="3890" spans="1:20" s="14" customFormat="1" x14ac:dyDescent="0.3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S3890" s="31"/>
      <c r="T3890" s="31"/>
    </row>
    <row r="3891" spans="1:20" s="14" customFormat="1" x14ac:dyDescent="0.3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S3891" s="31"/>
      <c r="T3891" s="31"/>
    </row>
    <row r="3892" spans="1:20" s="14" customFormat="1" x14ac:dyDescent="0.3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S3892" s="31"/>
      <c r="T3892" s="31"/>
    </row>
    <row r="3893" spans="1:20" s="14" customFormat="1" x14ac:dyDescent="0.3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S3893" s="31"/>
      <c r="T3893" s="31"/>
    </row>
    <row r="3894" spans="1:20" s="14" customFormat="1" x14ac:dyDescent="0.3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S3894" s="31"/>
      <c r="T3894" s="31"/>
    </row>
    <row r="3895" spans="1:20" s="14" customFormat="1" x14ac:dyDescent="0.3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S3895" s="31"/>
      <c r="T3895" s="31"/>
    </row>
    <row r="3896" spans="1:20" s="14" customFormat="1" x14ac:dyDescent="0.3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S3896" s="31"/>
      <c r="T3896" s="31"/>
    </row>
    <row r="3897" spans="1:20" s="14" customFormat="1" x14ac:dyDescent="0.3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S3897" s="31"/>
      <c r="T3897" s="31"/>
    </row>
    <row r="3898" spans="1:20" s="14" customFormat="1" x14ac:dyDescent="0.3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S3898" s="31"/>
      <c r="T3898" s="31"/>
    </row>
    <row r="3899" spans="1:20" s="14" customFormat="1" x14ac:dyDescent="0.3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S3899" s="31"/>
      <c r="T3899" s="31"/>
    </row>
    <row r="3900" spans="1:20" s="14" customFormat="1" x14ac:dyDescent="0.3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S3900" s="31"/>
      <c r="T3900" s="31"/>
    </row>
    <row r="3901" spans="1:20" s="14" customFormat="1" x14ac:dyDescent="0.3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S3901" s="31"/>
      <c r="T3901" s="31"/>
    </row>
    <row r="3902" spans="1:20" s="14" customFormat="1" x14ac:dyDescent="0.3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S3902" s="31"/>
      <c r="T3902" s="31"/>
    </row>
    <row r="3903" spans="1:20" s="14" customFormat="1" x14ac:dyDescent="0.3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S3903" s="31"/>
      <c r="T3903" s="31"/>
    </row>
    <row r="3904" spans="1:20" s="14" customFormat="1" x14ac:dyDescent="0.3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S3904" s="31"/>
      <c r="T3904" s="31"/>
    </row>
    <row r="3905" spans="1:20" s="14" customFormat="1" x14ac:dyDescent="0.3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S3905" s="31"/>
      <c r="T3905" s="31"/>
    </row>
    <row r="3906" spans="1:20" s="14" customFormat="1" x14ac:dyDescent="0.3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S3906" s="31"/>
      <c r="T3906" s="31"/>
    </row>
    <row r="3907" spans="1:20" s="14" customFormat="1" x14ac:dyDescent="0.3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S3907" s="31"/>
      <c r="T3907" s="31"/>
    </row>
    <row r="3908" spans="1:20" s="14" customFormat="1" x14ac:dyDescent="0.3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S3908" s="31"/>
      <c r="T3908" s="31"/>
    </row>
    <row r="3909" spans="1:20" s="14" customFormat="1" x14ac:dyDescent="0.3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S3909" s="31"/>
      <c r="T3909" s="31"/>
    </row>
    <row r="3910" spans="1:20" s="14" customFormat="1" x14ac:dyDescent="0.3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S3910" s="31"/>
      <c r="T3910" s="31"/>
    </row>
    <row r="3911" spans="1:20" s="14" customFormat="1" x14ac:dyDescent="0.3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S3911" s="31"/>
      <c r="T3911" s="31"/>
    </row>
    <row r="3912" spans="1:20" s="14" customFormat="1" x14ac:dyDescent="0.3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S3912" s="31"/>
      <c r="T3912" s="31"/>
    </row>
    <row r="3913" spans="1:20" s="14" customFormat="1" x14ac:dyDescent="0.3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S3913" s="31"/>
      <c r="T3913" s="31"/>
    </row>
    <row r="3914" spans="1:20" s="14" customFormat="1" x14ac:dyDescent="0.3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S3914" s="31"/>
      <c r="T3914" s="31"/>
    </row>
    <row r="3915" spans="1:20" s="14" customFormat="1" x14ac:dyDescent="0.3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S3915" s="31"/>
      <c r="T3915" s="31"/>
    </row>
    <row r="3916" spans="1:20" s="14" customFormat="1" x14ac:dyDescent="0.3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S3916" s="31"/>
      <c r="T3916" s="31"/>
    </row>
    <row r="3917" spans="1:20" s="14" customFormat="1" x14ac:dyDescent="0.3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S3917" s="31"/>
      <c r="T3917" s="31"/>
    </row>
    <row r="3918" spans="1:20" s="14" customFormat="1" x14ac:dyDescent="0.3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S3918" s="31"/>
      <c r="T3918" s="31"/>
    </row>
    <row r="3919" spans="1:20" s="14" customFormat="1" x14ac:dyDescent="0.3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S3919" s="31"/>
      <c r="T3919" s="31"/>
    </row>
    <row r="3920" spans="1:20" s="14" customFormat="1" x14ac:dyDescent="0.3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S3920" s="31"/>
      <c r="T3920" s="31"/>
    </row>
    <row r="3921" spans="1:20" s="14" customFormat="1" x14ac:dyDescent="0.3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S3921" s="31"/>
      <c r="T3921" s="31"/>
    </row>
    <row r="3922" spans="1:20" s="14" customFormat="1" x14ac:dyDescent="0.3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S3922" s="31"/>
      <c r="T3922" s="31"/>
    </row>
    <row r="3923" spans="1:20" s="14" customFormat="1" x14ac:dyDescent="0.3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S3923" s="31"/>
      <c r="T3923" s="31"/>
    </row>
    <row r="3924" spans="1:20" s="14" customFormat="1" x14ac:dyDescent="0.3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S3924" s="31"/>
      <c r="T3924" s="31"/>
    </row>
    <row r="3925" spans="1:20" s="14" customFormat="1" x14ac:dyDescent="0.3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S3925" s="31"/>
      <c r="T3925" s="31"/>
    </row>
    <row r="3926" spans="1:20" s="14" customFormat="1" x14ac:dyDescent="0.3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S3926" s="31"/>
      <c r="T3926" s="31"/>
    </row>
    <row r="3927" spans="1:20" s="14" customFormat="1" x14ac:dyDescent="0.3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S3927" s="31"/>
      <c r="T3927" s="31"/>
    </row>
    <row r="3928" spans="1:20" s="14" customFormat="1" x14ac:dyDescent="0.3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S3928" s="31"/>
      <c r="T3928" s="31"/>
    </row>
    <row r="3929" spans="1:20" s="14" customFormat="1" x14ac:dyDescent="0.3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S3929" s="31"/>
      <c r="T3929" s="31"/>
    </row>
    <row r="3930" spans="1:20" s="14" customFormat="1" x14ac:dyDescent="0.3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S3930" s="31"/>
      <c r="T3930" s="31"/>
    </row>
    <row r="3931" spans="1:20" s="14" customFormat="1" x14ac:dyDescent="0.3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S3931" s="31"/>
      <c r="T3931" s="31"/>
    </row>
    <row r="3932" spans="1:20" s="14" customFormat="1" x14ac:dyDescent="0.3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S3932" s="31"/>
      <c r="T3932" s="31"/>
    </row>
    <row r="3933" spans="1:20" s="14" customFormat="1" x14ac:dyDescent="0.3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S3933" s="31"/>
      <c r="T3933" s="31"/>
    </row>
    <row r="3934" spans="1:20" s="14" customFormat="1" x14ac:dyDescent="0.3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S3934" s="31"/>
      <c r="T3934" s="31"/>
    </row>
    <row r="3935" spans="1:20" s="14" customFormat="1" x14ac:dyDescent="0.3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S3935" s="31"/>
      <c r="T3935" s="31"/>
    </row>
    <row r="3936" spans="1:20" s="14" customFormat="1" x14ac:dyDescent="0.3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S3936" s="31"/>
      <c r="T3936" s="31"/>
    </row>
    <row r="3937" spans="1:20" s="14" customFormat="1" x14ac:dyDescent="0.3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S3937" s="31"/>
      <c r="T3937" s="31"/>
    </row>
    <row r="3938" spans="1:20" s="14" customFormat="1" x14ac:dyDescent="0.3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S3938" s="31"/>
      <c r="T3938" s="31"/>
    </row>
    <row r="3939" spans="1:20" s="14" customFormat="1" x14ac:dyDescent="0.3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S3939" s="31"/>
      <c r="T3939" s="31"/>
    </row>
    <row r="3940" spans="1:20" s="14" customFormat="1" x14ac:dyDescent="0.3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S3940" s="31"/>
      <c r="T3940" s="31"/>
    </row>
    <row r="3941" spans="1:20" s="14" customFormat="1" x14ac:dyDescent="0.3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S3941" s="31"/>
      <c r="T3941" s="31"/>
    </row>
    <row r="3942" spans="1:20" s="14" customFormat="1" x14ac:dyDescent="0.3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S3942" s="31"/>
      <c r="T3942" s="31"/>
    </row>
    <row r="3943" spans="1:20" s="14" customFormat="1" x14ac:dyDescent="0.3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S3943" s="31"/>
      <c r="T3943" s="31"/>
    </row>
    <row r="3944" spans="1:20" s="14" customFormat="1" x14ac:dyDescent="0.3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S3944" s="31"/>
      <c r="T3944" s="31"/>
    </row>
    <row r="3945" spans="1:20" s="14" customFormat="1" x14ac:dyDescent="0.3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S3945" s="31"/>
      <c r="T3945" s="31"/>
    </row>
    <row r="3946" spans="1:20" s="14" customFormat="1" x14ac:dyDescent="0.3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S3946" s="31"/>
      <c r="T3946" s="31"/>
    </row>
    <row r="3947" spans="1:20" s="14" customFormat="1" x14ac:dyDescent="0.3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S3947" s="31"/>
      <c r="T3947" s="31"/>
    </row>
    <row r="3948" spans="1:20" s="14" customFormat="1" x14ac:dyDescent="0.3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S3948" s="31"/>
      <c r="T3948" s="31"/>
    </row>
    <row r="3949" spans="1:20" s="14" customFormat="1" x14ac:dyDescent="0.3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S3949" s="31"/>
      <c r="T3949" s="31"/>
    </row>
    <row r="3950" spans="1:20" s="14" customFormat="1" x14ac:dyDescent="0.3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S3950" s="31"/>
      <c r="T3950" s="31"/>
    </row>
    <row r="3951" spans="1:20" s="14" customFormat="1" x14ac:dyDescent="0.3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S3951" s="31"/>
      <c r="T3951" s="31"/>
    </row>
    <row r="3952" spans="1:20" s="14" customFormat="1" x14ac:dyDescent="0.3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S3952" s="31"/>
      <c r="T3952" s="31"/>
    </row>
    <row r="3953" spans="1:20" s="14" customFormat="1" x14ac:dyDescent="0.3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S3953" s="31"/>
      <c r="T3953" s="31"/>
    </row>
    <row r="3954" spans="1:20" s="14" customFormat="1" x14ac:dyDescent="0.3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S3954" s="31"/>
      <c r="T3954" s="31"/>
    </row>
    <row r="3955" spans="1:20" s="14" customFormat="1" x14ac:dyDescent="0.3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S3955" s="31"/>
      <c r="T3955" s="31"/>
    </row>
    <row r="3956" spans="1:20" s="14" customFormat="1" x14ac:dyDescent="0.3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S3956" s="31"/>
      <c r="T3956" s="31"/>
    </row>
    <row r="3957" spans="1:20" s="14" customFormat="1" x14ac:dyDescent="0.3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S3957" s="31"/>
      <c r="T3957" s="31"/>
    </row>
    <row r="3958" spans="1:20" s="14" customFormat="1" x14ac:dyDescent="0.3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S3958" s="31"/>
      <c r="T3958" s="31"/>
    </row>
    <row r="3959" spans="1:20" s="14" customFormat="1" x14ac:dyDescent="0.3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S3959" s="31"/>
      <c r="T3959" s="31"/>
    </row>
    <row r="3960" spans="1:20" s="14" customFormat="1" x14ac:dyDescent="0.3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S3960" s="31"/>
      <c r="T3960" s="31"/>
    </row>
    <row r="3961" spans="1:20" s="14" customFormat="1" x14ac:dyDescent="0.3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S3961" s="31"/>
      <c r="T3961" s="31"/>
    </row>
    <row r="3962" spans="1:20" s="14" customFormat="1" x14ac:dyDescent="0.3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S3962" s="31"/>
      <c r="T3962" s="31"/>
    </row>
    <row r="3963" spans="1:20" s="14" customFormat="1" x14ac:dyDescent="0.3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S3963" s="31"/>
      <c r="T3963" s="31"/>
    </row>
    <row r="3964" spans="1:20" s="14" customFormat="1" x14ac:dyDescent="0.3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S3964" s="31"/>
      <c r="T3964" s="31"/>
    </row>
    <row r="3965" spans="1:20" s="14" customFormat="1" x14ac:dyDescent="0.3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S3965" s="31"/>
      <c r="T3965" s="31"/>
    </row>
    <row r="3966" spans="1:20" s="14" customFormat="1" x14ac:dyDescent="0.3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S3966" s="31"/>
      <c r="T3966" s="31"/>
    </row>
    <row r="3967" spans="1:20" s="14" customFormat="1" x14ac:dyDescent="0.3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S3967" s="31"/>
      <c r="T3967" s="31"/>
    </row>
    <row r="3968" spans="1:20" s="14" customFormat="1" x14ac:dyDescent="0.3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S3968" s="31"/>
      <c r="T3968" s="31"/>
    </row>
    <row r="3969" spans="1:20" s="14" customFormat="1" x14ac:dyDescent="0.3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S3969" s="31"/>
      <c r="T3969" s="31"/>
    </row>
    <row r="3970" spans="1:20" s="14" customFormat="1" x14ac:dyDescent="0.3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S3970" s="31"/>
      <c r="T3970" s="31"/>
    </row>
    <row r="3971" spans="1:20" s="14" customFormat="1" x14ac:dyDescent="0.3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S3971" s="31"/>
      <c r="T3971" s="31"/>
    </row>
    <row r="3972" spans="1:20" s="14" customFormat="1" x14ac:dyDescent="0.3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S3972" s="31"/>
      <c r="T3972" s="31"/>
    </row>
    <row r="3973" spans="1:20" s="14" customFormat="1" x14ac:dyDescent="0.3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S3973" s="31"/>
      <c r="T3973" s="31"/>
    </row>
    <row r="3974" spans="1:20" s="14" customFormat="1" x14ac:dyDescent="0.3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S3974" s="31"/>
      <c r="T3974" s="31"/>
    </row>
    <row r="3975" spans="1:20" s="14" customFormat="1" x14ac:dyDescent="0.3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S3975" s="31"/>
      <c r="T3975" s="31"/>
    </row>
    <row r="3976" spans="1:20" s="14" customFormat="1" x14ac:dyDescent="0.3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S3976" s="31"/>
      <c r="T3976" s="31"/>
    </row>
    <row r="3977" spans="1:20" s="14" customFormat="1" x14ac:dyDescent="0.3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S3977" s="31"/>
      <c r="T3977" s="31"/>
    </row>
    <row r="3978" spans="1:20" s="14" customFormat="1" x14ac:dyDescent="0.3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S3978" s="31"/>
      <c r="T3978" s="31"/>
    </row>
    <row r="3979" spans="1:20" s="14" customFormat="1" x14ac:dyDescent="0.3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S3979" s="31"/>
      <c r="T3979" s="31"/>
    </row>
    <row r="3980" spans="1:20" s="14" customFormat="1" x14ac:dyDescent="0.3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S3980" s="31"/>
      <c r="T3980" s="31"/>
    </row>
    <row r="3981" spans="1:20" s="14" customFormat="1" x14ac:dyDescent="0.3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S3981" s="31"/>
      <c r="T3981" s="31"/>
    </row>
    <row r="3982" spans="1:20" s="14" customFormat="1" x14ac:dyDescent="0.3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S3982" s="31"/>
      <c r="T3982" s="31"/>
    </row>
    <row r="3983" spans="1:20" s="14" customFormat="1" x14ac:dyDescent="0.3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S3983" s="31"/>
      <c r="T3983" s="31"/>
    </row>
    <row r="3984" spans="1:20" s="14" customFormat="1" x14ac:dyDescent="0.3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S3984" s="31"/>
      <c r="T3984" s="31"/>
    </row>
    <row r="3985" spans="1:20" s="14" customFormat="1" x14ac:dyDescent="0.3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S3985" s="31"/>
      <c r="T3985" s="31"/>
    </row>
    <row r="3986" spans="1:20" s="14" customFormat="1" x14ac:dyDescent="0.3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S3986" s="31"/>
      <c r="T3986" s="31"/>
    </row>
    <row r="3987" spans="1:20" s="14" customFormat="1" x14ac:dyDescent="0.3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S3987" s="31"/>
      <c r="T3987" s="31"/>
    </row>
    <row r="3988" spans="1:20" s="14" customFormat="1" x14ac:dyDescent="0.3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S3988" s="31"/>
      <c r="T3988" s="31"/>
    </row>
    <row r="3989" spans="1:20" s="14" customFormat="1" x14ac:dyDescent="0.3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S3989" s="31"/>
      <c r="T3989" s="31"/>
    </row>
    <row r="3990" spans="1:20" s="14" customFormat="1" x14ac:dyDescent="0.3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S3990" s="31"/>
      <c r="T3990" s="31"/>
    </row>
    <row r="3991" spans="1:20" s="14" customFormat="1" x14ac:dyDescent="0.3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S3991" s="31"/>
      <c r="T3991" s="31"/>
    </row>
    <row r="3992" spans="1:20" s="14" customFormat="1" x14ac:dyDescent="0.3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S3992" s="31"/>
      <c r="T3992" s="31"/>
    </row>
    <row r="3993" spans="1:20" s="14" customFormat="1" x14ac:dyDescent="0.3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S3993" s="31"/>
      <c r="T3993" s="31"/>
    </row>
    <row r="3994" spans="1:20" s="14" customFormat="1" x14ac:dyDescent="0.3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S3994" s="31"/>
      <c r="T3994" s="31"/>
    </row>
    <row r="3995" spans="1:20" s="14" customFormat="1" x14ac:dyDescent="0.3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S3995" s="31"/>
      <c r="T3995" s="31"/>
    </row>
    <row r="3996" spans="1:20" s="14" customFormat="1" x14ac:dyDescent="0.3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S3996" s="31"/>
      <c r="T3996" s="31"/>
    </row>
    <row r="3997" spans="1:20" s="14" customFormat="1" x14ac:dyDescent="0.3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S3997" s="31"/>
      <c r="T3997" s="31"/>
    </row>
    <row r="3998" spans="1:20" s="14" customFormat="1" x14ac:dyDescent="0.3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S3998" s="31"/>
      <c r="T3998" s="31"/>
    </row>
    <row r="3999" spans="1:20" s="14" customFormat="1" x14ac:dyDescent="0.3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S3999" s="31"/>
      <c r="T3999" s="31"/>
    </row>
    <row r="4000" spans="1:20" s="14" customFormat="1" x14ac:dyDescent="0.3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S4000" s="31"/>
      <c r="T4000" s="31"/>
    </row>
    <row r="4001" spans="1:20" s="14" customFormat="1" x14ac:dyDescent="0.3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S4001" s="31"/>
      <c r="T4001" s="31"/>
    </row>
    <row r="4002" spans="1:20" s="14" customFormat="1" x14ac:dyDescent="0.3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S4002" s="31"/>
      <c r="T4002" s="31"/>
    </row>
    <row r="4003" spans="1:20" s="14" customFormat="1" x14ac:dyDescent="0.3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S4003" s="31"/>
      <c r="T4003" s="31"/>
    </row>
    <row r="4004" spans="1:20" s="14" customFormat="1" x14ac:dyDescent="0.3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S4004" s="31"/>
      <c r="T4004" s="31"/>
    </row>
    <row r="4005" spans="1:20" s="14" customFormat="1" x14ac:dyDescent="0.3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S4005" s="31"/>
      <c r="T4005" s="31"/>
    </row>
    <row r="4006" spans="1:20" s="14" customFormat="1" x14ac:dyDescent="0.3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S4006" s="31"/>
      <c r="T4006" s="31"/>
    </row>
    <row r="4007" spans="1:20" s="14" customFormat="1" x14ac:dyDescent="0.3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S4007" s="31"/>
      <c r="T4007" s="31"/>
    </row>
    <row r="4008" spans="1:20" s="14" customFormat="1" x14ac:dyDescent="0.3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S4008" s="31"/>
      <c r="T4008" s="31"/>
    </row>
    <row r="4009" spans="1:20" s="14" customFormat="1" x14ac:dyDescent="0.3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S4009" s="31"/>
      <c r="T4009" s="31"/>
    </row>
    <row r="4010" spans="1:20" s="14" customFormat="1" x14ac:dyDescent="0.3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S4010" s="31"/>
      <c r="T4010" s="31"/>
    </row>
    <row r="4011" spans="1:20" s="14" customFormat="1" x14ac:dyDescent="0.3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S4011" s="31"/>
      <c r="T4011" s="31"/>
    </row>
    <row r="4012" spans="1:20" s="14" customFormat="1" x14ac:dyDescent="0.3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S4012" s="31"/>
      <c r="T4012" s="31"/>
    </row>
    <row r="4013" spans="1:20" s="14" customFormat="1" x14ac:dyDescent="0.3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S4013" s="31"/>
      <c r="T4013" s="31"/>
    </row>
    <row r="4014" spans="1:20" s="14" customFormat="1" x14ac:dyDescent="0.3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S4014" s="31"/>
      <c r="T4014" s="31"/>
    </row>
    <row r="4015" spans="1:20" s="14" customFormat="1" x14ac:dyDescent="0.3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S4015" s="31"/>
      <c r="T4015" s="31"/>
    </row>
    <row r="4016" spans="1:20" s="14" customFormat="1" x14ac:dyDescent="0.3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S4016" s="31"/>
      <c r="T4016" s="31"/>
    </row>
    <row r="4017" spans="1:20" s="14" customFormat="1" x14ac:dyDescent="0.3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S4017" s="31"/>
      <c r="T4017" s="31"/>
    </row>
    <row r="4018" spans="1:20" s="14" customFormat="1" x14ac:dyDescent="0.3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S4018" s="31"/>
      <c r="T4018" s="31"/>
    </row>
    <row r="4019" spans="1:20" s="14" customFormat="1" x14ac:dyDescent="0.3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S4019" s="31"/>
      <c r="T4019" s="31"/>
    </row>
    <row r="4020" spans="1:20" s="14" customFormat="1" x14ac:dyDescent="0.3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S4020" s="31"/>
      <c r="T4020" s="31"/>
    </row>
    <row r="4021" spans="1:20" s="14" customFormat="1" x14ac:dyDescent="0.3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S4021" s="31"/>
      <c r="T4021" s="31"/>
    </row>
    <row r="4022" spans="1:20" s="14" customFormat="1" x14ac:dyDescent="0.3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S4022" s="31"/>
      <c r="T4022" s="31"/>
    </row>
    <row r="4023" spans="1:20" s="14" customFormat="1" x14ac:dyDescent="0.3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S4023" s="31"/>
      <c r="T4023" s="31"/>
    </row>
    <row r="4024" spans="1:20" s="14" customFormat="1" x14ac:dyDescent="0.3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S4024" s="31"/>
      <c r="T4024" s="31"/>
    </row>
    <row r="4025" spans="1:20" s="14" customFormat="1" x14ac:dyDescent="0.3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S4025" s="31"/>
      <c r="T4025" s="31"/>
    </row>
    <row r="4026" spans="1:20" s="14" customFormat="1" x14ac:dyDescent="0.3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S4026" s="31"/>
      <c r="T4026" s="31"/>
    </row>
    <row r="4027" spans="1:20" s="14" customFormat="1" x14ac:dyDescent="0.3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S4027" s="31"/>
      <c r="T4027" s="31"/>
    </row>
    <row r="4028" spans="1:20" s="14" customFormat="1" x14ac:dyDescent="0.3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S4028" s="31"/>
      <c r="T4028" s="31"/>
    </row>
    <row r="4029" spans="1:20" s="14" customFormat="1" x14ac:dyDescent="0.3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S4029" s="31"/>
      <c r="T4029" s="31"/>
    </row>
    <row r="4030" spans="1:20" s="14" customFormat="1" x14ac:dyDescent="0.3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S4030" s="31"/>
      <c r="T4030" s="31"/>
    </row>
    <row r="4031" spans="1:20" s="14" customFormat="1" x14ac:dyDescent="0.3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S4031" s="31"/>
      <c r="T4031" s="31"/>
    </row>
    <row r="4032" spans="1:20" s="14" customFormat="1" x14ac:dyDescent="0.3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S4032" s="31"/>
      <c r="T4032" s="31"/>
    </row>
    <row r="4033" spans="1:20" s="14" customFormat="1" x14ac:dyDescent="0.3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S4033" s="31"/>
      <c r="T4033" s="31"/>
    </row>
    <row r="4034" spans="1:20" s="14" customFormat="1" x14ac:dyDescent="0.3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S4034" s="31"/>
      <c r="T4034" s="31"/>
    </row>
    <row r="4035" spans="1:20" s="14" customFormat="1" x14ac:dyDescent="0.3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S4035" s="31"/>
      <c r="T4035" s="31"/>
    </row>
    <row r="4036" spans="1:20" s="14" customFormat="1" x14ac:dyDescent="0.3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S4036" s="31"/>
      <c r="T4036" s="31"/>
    </row>
    <row r="4037" spans="1:20" s="14" customFormat="1" x14ac:dyDescent="0.3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S4037" s="31"/>
      <c r="T4037" s="31"/>
    </row>
    <row r="4038" spans="1:20" s="14" customFormat="1" x14ac:dyDescent="0.3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S4038" s="31"/>
      <c r="T4038" s="31"/>
    </row>
    <row r="4039" spans="1:20" s="14" customFormat="1" x14ac:dyDescent="0.3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S4039" s="31"/>
      <c r="T4039" s="31"/>
    </row>
    <row r="4040" spans="1:20" s="14" customFormat="1" x14ac:dyDescent="0.3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S4040" s="31"/>
      <c r="T4040" s="31"/>
    </row>
    <row r="4041" spans="1:20" s="14" customFormat="1" x14ac:dyDescent="0.3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S4041" s="31"/>
      <c r="T4041" s="31"/>
    </row>
    <row r="4042" spans="1:20" s="14" customFormat="1" x14ac:dyDescent="0.3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S4042" s="31"/>
      <c r="T4042" s="31"/>
    </row>
    <row r="4043" spans="1:20" s="14" customFormat="1" x14ac:dyDescent="0.3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S4043" s="31"/>
      <c r="T4043" s="31"/>
    </row>
    <row r="4044" spans="1:20" s="14" customFormat="1" x14ac:dyDescent="0.3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S4044" s="31"/>
      <c r="T4044" s="31"/>
    </row>
    <row r="4045" spans="1:20" s="14" customFormat="1" x14ac:dyDescent="0.3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S4045" s="31"/>
      <c r="T4045" s="31"/>
    </row>
    <row r="4046" spans="1:20" s="14" customFormat="1" x14ac:dyDescent="0.3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S4046" s="31"/>
      <c r="T4046" s="31"/>
    </row>
    <row r="4047" spans="1:20" s="14" customFormat="1" x14ac:dyDescent="0.3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S4047" s="31"/>
      <c r="T4047" s="31"/>
    </row>
    <row r="4048" spans="1:20" s="14" customFormat="1" x14ac:dyDescent="0.3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S4048" s="31"/>
      <c r="T4048" s="31"/>
    </row>
    <row r="4049" spans="1:20" s="14" customFormat="1" x14ac:dyDescent="0.3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S4049" s="31"/>
      <c r="T4049" s="31"/>
    </row>
    <row r="4050" spans="1:20" s="14" customFormat="1" x14ac:dyDescent="0.3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S4050" s="31"/>
      <c r="T4050" s="31"/>
    </row>
    <row r="4051" spans="1:20" s="14" customFormat="1" x14ac:dyDescent="0.3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S4051" s="31"/>
      <c r="T4051" s="31"/>
    </row>
    <row r="4052" spans="1:20" s="14" customFormat="1" x14ac:dyDescent="0.3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S4052" s="31"/>
      <c r="T4052" s="31"/>
    </row>
    <row r="4053" spans="1:20" s="14" customFormat="1" x14ac:dyDescent="0.3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S4053" s="31"/>
      <c r="T4053" s="31"/>
    </row>
    <row r="4054" spans="1:20" s="14" customFormat="1" x14ac:dyDescent="0.3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S4054" s="31"/>
      <c r="T4054" s="31"/>
    </row>
    <row r="4055" spans="1:20" s="14" customFormat="1" x14ac:dyDescent="0.3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S4055" s="31"/>
      <c r="T4055" s="31"/>
    </row>
    <row r="4056" spans="1:20" s="14" customFormat="1" x14ac:dyDescent="0.3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S4056" s="31"/>
      <c r="T4056" s="31"/>
    </row>
    <row r="4057" spans="1:20" s="14" customFormat="1" x14ac:dyDescent="0.3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S4057" s="31"/>
      <c r="T4057" s="31"/>
    </row>
    <row r="4058" spans="1:20" s="14" customFormat="1" x14ac:dyDescent="0.3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S4058" s="31"/>
      <c r="T4058" s="31"/>
    </row>
    <row r="4059" spans="1:20" s="14" customFormat="1" x14ac:dyDescent="0.3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S4059" s="31"/>
      <c r="T4059" s="31"/>
    </row>
    <row r="4060" spans="1:20" s="14" customFormat="1" x14ac:dyDescent="0.3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S4060" s="31"/>
      <c r="T4060" s="31"/>
    </row>
    <row r="4061" spans="1:20" s="14" customFormat="1" x14ac:dyDescent="0.3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S4061" s="31"/>
      <c r="T4061" s="31"/>
    </row>
    <row r="4062" spans="1:20" s="14" customFormat="1" x14ac:dyDescent="0.3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S4062" s="31"/>
      <c r="T4062" s="31"/>
    </row>
    <row r="4063" spans="1:20" s="14" customFormat="1" x14ac:dyDescent="0.3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S4063" s="31"/>
      <c r="T4063" s="31"/>
    </row>
    <row r="4064" spans="1:20" s="14" customFormat="1" x14ac:dyDescent="0.3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S4064" s="31"/>
      <c r="T4064" s="31"/>
    </row>
    <row r="4065" spans="1:20" s="14" customFormat="1" x14ac:dyDescent="0.3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S4065" s="31"/>
      <c r="T4065" s="31"/>
    </row>
    <row r="4066" spans="1:20" s="14" customFormat="1" x14ac:dyDescent="0.3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S4066" s="31"/>
      <c r="T4066" s="31"/>
    </row>
    <row r="4067" spans="1:20" s="14" customFormat="1" x14ac:dyDescent="0.3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S4067" s="31"/>
      <c r="T4067" s="31"/>
    </row>
    <row r="4068" spans="1:20" s="14" customFormat="1" x14ac:dyDescent="0.3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S4068" s="31"/>
      <c r="T4068" s="31"/>
    </row>
    <row r="4069" spans="1:20" s="14" customFormat="1" x14ac:dyDescent="0.3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S4069" s="31"/>
      <c r="T4069" s="31"/>
    </row>
    <row r="4070" spans="1:20" s="14" customFormat="1" x14ac:dyDescent="0.3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S4070" s="31"/>
      <c r="T4070" s="31"/>
    </row>
    <row r="4071" spans="1:20" s="14" customFormat="1" x14ac:dyDescent="0.3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S4071" s="31"/>
      <c r="T4071" s="31"/>
    </row>
    <row r="4072" spans="1:20" s="14" customFormat="1" x14ac:dyDescent="0.3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S4072" s="31"/>
      <c r="T4072" s="31"/>
    </row>
    <row r="4073" spans="1:20" s="14" customFormat="1" x14ac:dyDescent="0.3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S4073" s="31"/>
      <c r="T4073" s="31"/>
    </row>
    <row r="4074" spans="1:20" s="14" customFormat="1" x14ac:dyDescent="0.3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S4074" s="31"/>
      <c r="T4074" s="31"/>
    </row>
    <row r="4075" spans="1:20" s="14" customFormat="1" x14ac:dyDescent="0.3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S4075" s="31"/>
      <c r="T4075" s="31"/>
    </row>
    <row r="4076" spans="1:20" s="14" customFormat="1" x14ac:dyDescent="0.3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S4076" s="31"/>
      <c r="T4076" s="31"/>
    </row>
    <row r="4077" spans="1:20" s="14" customFormat="1" x14ac:dyDescent="0.3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S4077" s="31"/>
      <c r="T4077" s="31"/>
    </row>
    <row r="4078" spans="1:20" s="14" customFormat="1" x14ac:dyDescent="0.3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S4078" s="31"/>
      <c r="T4078" s="31"/>
    </row>
    <row r="4079" spans="1:20" s="14" customFormat="1" x14ac:dyDescent="0.3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S4079" s="31"/>
      <c r="T4079" s="31"/>
    </row>
    <row r="4080" spans="1:20" s="14" customFormat="1" x14ac:dyDescent="0.3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S4080" s="31"/>
      <c r="T4080" s="31"/>
    </row>
    <row r="4081" spans="1:20" s="14" customFormat="1" x14ac:dyDescent="0.3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S4081" s="31"/>
      <c r="T4081" s="31"/>
    </row>
    <row r="4082" spans="1:20" s="14" customFormat="1" x14ac:dyDescent="0.3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S4082" s="31"/>
      <c r="T4082" s="31"/>
    </row>
    <row r="4083" spans="1:20" s="14" customFormat="1" x14ac:dyDescent="0.3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S4083" s="31"/>
      <c r="T4083" s="31"/>
    </row>
    <row r="4084" spans="1:20" s="14" customFormat="1" x14ac:dyDescent="0.3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S4084" s="31"/>
      <c r="T4084" s="31"/>
    </row>
    <row r="4085" spans="1:20" s="14" customFormat="1" x14ac:dyDescent="0.3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S4085" s="31"/>
      <c r="T4085" s="31"/>
    </row>
    <row r="4086" spans="1:20" s="14" customFormat="1" x14ac:dyDescent="0.3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S4086" s="31"/>
      <c r="T4086" s="31"/>
    </row>
    <row r="4087" spans="1:20" s="14" customFormat="1" x14ac:dyDescent="0.3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S4087" s="31"/>
      <c r="T4087" s="31"/>
    </row>
    <row r="4088" spans="1:20" s="14" customFormat="1" x14ac:dyDescent="0.3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S4088" s="31"/>
      <c r="T4088" s="31"/>
    </row>
    <row r="4089" spans="1:20" s="14" customFormat="1" x14ac:dyDescent="0.3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S4089" s="31"/>
      <c r="T4089" s="31"/>
    </row>
    <row r="4090" spans="1:20" s="14" customFormat="1" x14ac:dyDescent="0.3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S4090" s="31"/>
      <c r="T4090" s="31"/>
    </row>
    <row r="4091" spans="1:20" s="14" customFormat="1" x14ac:dyDescent="0.3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S4091" s="31"/>
      <c r="T4091" s="31"/>
    </row>
    <row r="4092" spans="1:20" s="14" customFormat="1" x14ac:dyDescent="0.3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S4092" s="31"/>
      <c r="T4092" s="31"/>
    </row>
    <row r="4093" spans="1:20" s="14" customFormat="1" x14ac:dyDescent="0.3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S4093" s="31"/>
      <c r="T4093" s="31"/>
    </row>
    <row r="4094" spans="1:20" s="14" customFormat="1" x14ac:dyDescent="0.3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S4094" s="31"/>
      <c r="T4094" s="31"/>
    </row>
    <row r="4095" spans="1:20" s="14" customFormat="1" x14ac:dyDescent="0.3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S4095" s="31"/>
      <c r="T4095" s="31"/>
    </row>
    <row r="4096" spans="1:20" s="14" customFormat="1" x14ac:dyDescent="0.3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S4096" s="31"/>
      <c r="T4096" s="31"/>
    </row>
    <row r="4097" spans="1:20" s="14" customFormat="1" x14ac:dyDescent="0.3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S4097" s="31"/>
      <c r="T4097" s="31"/>
    </row>
    <row r="4098" spans="1:20" s="14" customFormat="1" x14ac:dyDescent="0.3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S4098" s="31"/>
      <c r="T4098" s="31"/>
    </row>
    <row r="4099" spans="1:20" s="14" customFormat="1" x14ac:dyDescent="0.3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S4099" s="31"/>
      <c r="T4099" s="31"/>
    </row>
    <row r="4100" spans="1:20" s="14" customFormat="1" x14ac:dyDescent="0.3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S4100" s="31"/>
      <c r="T4100" s="31"/>
    </row>
    <row r="4101" spans="1:20" s="14" customFormat="1" x14ac:dyDescent="0.3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S4101" s="31"/>
      <c r="T4101" s="31"/>
    </row>
    <row r="4102" spans="1:20" s="14" customFormat="1" x14ac:dyDescent="0.3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S4102" s="31"/>
      <c r="T4102" s="31"/>
    </row>
    <row r="4103" spans="1:20" s="14" customFormat="1" x14ac:dyDescent="0.3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S4103" s="31"/>
      <c r="T4103" s="31"/>
    </row>
    <row r="4104" spans="1:20" s="14" customFormat="1" x14ac:dyDescent="0.3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S4104" s="31"/>
      <c r="T4104" s="31"/>
    </row>
    <row r="4105" spans="1:20" s="14" customFormat="1" x14ac:dyDescent="0.3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S4105" s="31"/>
      <c r="T4105" s="31"/>
    </row>
    <row r="4106" spans="1:20" s="14" customFormat="1" x14ac:dyDescent="0.3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S4106" s="31"/>
      <c r="T4106" s="31"/>
    </row>
    <row r="4107" spans="1:20" s="14" customFormat="1" x14ac:dyDescent="0.3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S4107" s="31"/>
      <c r="T4107" s="31"/>
    </row>
    <row r="4108" spans="1:20" s="14" customFormat="1" x14ac:dyDescent="0.3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S4108" s="31"/>
      <c r="T4108" s="31"/>
    </row>
    <row r="4109" spans="1:20" s="14" customFormat="1" x14ac:dyDescent="0.3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S4109" s="31"/>
      <c r="T4109" s="31"/>
    </row>
    <row r="4110" spans="1:20" s="14" customFormat="1" x14ac:dyDescent="0.3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S4110" s="31"/>
      <c r="T4110" s="31"/>
    </row>
    <row r="4111" spans="1:20" s="14" customFormat="1" x14ac:dyDescent="0.3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S4111" s="31"/>
      <c r="T4111" s="31"/>
    </row>
    <row r="4112" spans="1:20" s="14" customFormat="1" x14ac:dyDescent="0.3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S4112" s="31"/>
      <c r="T4112" s="31"/>
    </row>
    <row r="4113" spans="1:20" s="14" customFormat="1" x14ac:dyDescent="0.3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S4113" s="31"/>
      <c r="T4113" s="31"/>
    </row>
    <row r="4114" spans="1:20" s="14" customFormat="1" x14ac:dyDescent="0.3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S4114" s="31"/>
      <c r="T4114" s="31"/>
    </row>
    <row r="4115" spans="1:20" s="14" customFormat="1" x14ac:dyDescent="0.3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S4115" s="31"/>
      <c r="T4115" s="31"/>
    </row>
    <row r="4116" spans="1:20" s="14" customFormat="1" x14ac:dyDescent="0.3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S4116" s="31"/>
      <c r="T4116" s="31"/>
    </row>
    <row r="4117" spans="1:20" s="14" customFormat="1" x14ac:dyDescent="0.3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S4117" s="31"/>
      <c r="T4117" s="31"/>
    </row>
    <row r="4118" spans="1:20" s="14" customFormat="1" x14ac:dyDescent="0.3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S4118" s="31"/>
      <c r="T4118" s="31"/>
    </row>
    <row r="4119" spans="1:20" s="14" customFormat="1" x14ac:dyDescent="0.3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S4119" s="31"/>
      <c r="T4119" s="31"/>
    </row>
    <row r="4120" spans="1:20" s="14" customFormat="1" x14ac:dyDescent="0.3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S4120" s="31"/>
      <c r="T4120" s="31"/>
    </row>
    <row r="4121" spans="1:20" s="14" customFormat="1" x14ac:dyDescent="0.3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S4121" s="31"/>
      <c r="T4121" s="31"/>
    </row>
    <row r="4122" spans="1:20" s="14" customFormat="1" x14ac:dyDescent="0.3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S4122" s="31"/>
      <c r="T4122" s="31"/>
    </row>
    <row r="4123" spans="1:20" s="14" customFormat="1" x14ac:dyDescent="0.3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S4123" s="31"/>
      <c r="T4123" s="31"/>
    </row>
    <row r="4124" spans="1:20" s="14" customFormat="1" x14ac:dyDescent="0.3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S4124" s="31"/>
      <c r="T4124" s="31"/>
    </row>
    <row r="4125" spans="1:20" s="14" customFormat="1" x14ac:dyDescent="0.3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S4125" s="31"/>
      <c r="T4125" s="31"/>
    </row>
    <row r="4126" spans="1:20" s="14" customFormat="1" x14ac:dyDescent="0.3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S4126" s="31"/>
      <c r="T4126" s="31"/>
    </row>
    <row r="4127" spans="1:20" s="14" customFormat="1" x14ac:dyDescent="0.3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S4127" s="31"/>
      <c r="T4127" s="31"/>
    </row>
    <row r="4128" spans="1:20" s="14" customFormat="1" x14ac:dyDescent="0.3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S4128" s="31"/>
      <c r="T4128" s="31"/>
    </row>
    <row r="4129" spans="1:20" s="14" customFormat="1" x14ac:dyDescent="0.3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S4129" s="31"/>
      <c r="T4129" s="31"/>
    </row>
    <row r="4130" spans="1:20" s="14" customFormat="1" x14ac:dyDescent="0.3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S4130" s="31"/>
      <c r="T4130" s="31"/>
    </row>
    <row r="4131" spans="1:20" s="14" customFormat="1" x14ac:dyDescent="0.3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S4131" s="31"/>
      <c r="T4131" s="31"/>
    </row>
    <row r="4132" spans="1:20" s="14" customFormat="1" x14ac:dyDescent="0.3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S4132" s="31"/>
      <c r="T4132" s="31"/>
    </row>
    <row r="4133" spans="1:20" s="14" customFormat="1" x14ac:dyDescent="0.3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S4133" s="31"/>
      <c r="T4133" s="31"/>
    </row>
    <row r="4134" spans="1:20" s="14" customFormat="1" x14ac:dyDescent="0.3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S4134" s="31"/>
      <c r="T4134" s="31"/>
    </row>
    <row r="4135" spans="1:20" s="14" customFormat="1" x14ac:dyDescent="0.3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S4135" s="31"/>
      <c r="T4135" s="31"/>
    </row>
    <row r="4136" spans="1:20" s="14" customFormat="1" x14ac:dyDescent="0.3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S4136" s="31"/>
      <c r="T4136" s="31"/>
    </row>
    <row r="4137" spans="1:20" s="14" customFormat="1" x14ac:dyDescent="0.3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S4137" s="31"/>
      <c r="T4137" s="31"/>
    </row>
    <row r="4138" spans="1:20" s="14" customFormat="1" x14ac:dyDescent="0.3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S4138" s="31"/>
      <c r="T4138" s="31"/>
    </row>
    <row r="4139" spans="1:20" s="14" customFormat="1" x14ac:dyDescent="0.3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S4139" s="31"/>
      <c r="T4139" s="31"/>
    </row>
    <row r="4140" spans="1:20" s="14" customFormat="1" x14ac:dyDescent="0.3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S4140" s="31"/>
      <c r="T4140" s="31"/>
    </row>
    <row r="4141" spans="1:20" s="14" customFormat="1" x14ac:dyDescent="0.3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S4141" s="31"/>
      <c r="T4141" s="31"/>
    </row>
    <row r="4142" spans="1:20" s="14" customFormat="1" x14ac:dyDescent="0.3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S4142" s="31"/>
      <c r="T4142" s="31"/>
    </row>
    <row r="4143" spans="1:20" s="14" customFormat="1" x14ac:dyDescent="0.3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S4143" s="31"/>
      <c r="T4143" s="31"/>
    </row>
    <row r="4144" spans="1:20" s="14" customFormat="1" x14ac:dyDescent="0.3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S4144" s="31"/>
      <c r="T4144" s="31"/>
    </row>
    <row r="4145" spans="1:20" s="14" customFormat="1" x14ac:dyDescent="0.3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S4145" s="31"/>
      <c r="T4145" s="31"/>
    </row>
    <row r="4146" spans="1:20" s="14" customFormat="1" x14ac:dyDescent="0.3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S4146" s="31"/>
      <c r="T4146" s="31"/>
    </row>
    <row r="4147" spans="1:20" s="14" customFormat="1" x14ac:dyDescent="0.3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S4147" s="31"/>
      <c r="T4147" s="31"/>
    </row>
    <row r="4148" spans="1:20" s="14" customFormat="1" x14ac:dyDescent="0.3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S4148" s="31"/>
      <c r="T4148" s="31"/>
    </row>
    <row r="4149" spans="1:20" s="14" customFormat="1" x14ac:dyDescent="0.3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S4149" s="31"/>
      <c r="T4149" s="31"/>
    </row>
    <row r="4150" spans="1:20" s="14" customFormat="1" x14ac:dyDescent="0.3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S4150" s="31"/>
      <c r="T4150" s="31"/>
    </row>
    <row r="4151" spans="1:20" s="14" customFormat="1" x14ac:dyDescent="0.3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S4151" s="31"/>
      <c r="T4151" s="31"/>
    </row>
    <row r="4152" spans="1:20" s="14" customFormat="1" x14ac:dyDescent="0.3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S4152" s="31"/>
      <c r="T4152" s="31"/>
    </row>
    <row r="4153" spans="1:20" s="14" customFormat="1" x14ac:dyDescent="0.3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S4153" s="31"/>
      <c r="T4153" s="31"/>
    </row>
    <row r="4154" spans="1:20" s="14" customFormat="1" x14ac:dyDescent="0.3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S4154" s="31"/>
      <c r="T4154" s="31"/>
    </row>
    <row r="4155" spans="1:20" s="14" customFormat="1" x14ac:dyDescent="0.3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S4155" s="31"/>
      <c r="T4155" s="31"/>
    </row>
    <row r="4156" spans="1:20" s="14" customFormat="1" x14ac:dyDescent="0.3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S4156" s="31"/>
      <c r="T4156" s="31"/>
    </row>
    <row r="4157" spans="1:20" s="14" customFormat="1" x14ac:dyDescent="0.3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S4157" s="31"/>
      <c r="T4157" s="31"/>
    </row>
    <row r="4158" spans="1:20" s="14" customFormat="1" x14ac:dyDescent="0.3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S4158" s="31"/>
      <c r="T4158" s="31"/>
    </row>
    <row r="4159" spans="1:20" s="14" customFormat="1" x14ac:dyDescent="0.3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S4159" s="31"/>
      <c r="T4159" s="31"/>
    </row>
    <row r="4160" spans="1:20" s="14" customFormat="1" x14ac:dyDescent="0.3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S4160" s="31"/>
      <c r="T4160" s="31"/>
    </row>
    <row r="4161" spans="1:20" s="14" customFormat="1" x14ac:dyDescent="0.3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S4161" s="31"/>
      <c r="T4161" s="31"/>
    </row>
    <row r="4162" spans="1:20" s="14" customFormat="1" x14ac:dyDescent="0.3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S4162" s="31"/>
      <c r="T4162" s="31"/>
    </row>
    <row r="4163" spans="1:20" s="14" customFormat="1" x14ac:dyDescent="0.3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S4163" s="31"/>
      <c r="T4163" s="31"/>
    </row>
    <row r="4164" spans="1:20" s="14" customFormat="1" x14ac:dyDescent="0.3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S4164" s="31"/>
      <c r="T4164" s="31"/>
    </row>
    <row r="4165" spans="1:20" s="14" customFormat="1" x14ac:dyDescent="0.3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S4165" s="31"/>
      <c r="T4165" s="31"/>
    </row>
    <row r="4166" spans="1:20" s="14" customFormat="1" x14ac:dyDescent="0.3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S4166" s="31"/>
      <c r="T4166" s="31"/>
    </row>
    <row r="4167" spans="1:20" s="14" customFormat="1" x14ac:dyDescent="0.3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S4167" s="31"/>
      <c r="T4167" s="31"/>
    </row>
    <row r="4168" spans="1:20" s="14" customFormat="1" x14ac:dyDescent="0.3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S4168" s="31"/>
      <c r="T4168" s="31"/>
    </row>
    <row r="4169" spans="1:20" s="14" customFormat="1" x14ac:dyDescent="0.3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S4169" s="31"/>
      <c r="T4169" s="31"/>
    </row>
    <row r="4170" spans="1:20" s="14" customFormat="1" x14ac:dyDescent="0.3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S4170" s="31"/>
      <c r="T4170" s="31"/>
    </row>
    <row r="4171" spans="1:20" s="14" customFormat="1" x14ac:dyDescent="0.3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S4171" s="31"/>
      <c r="T4171" s="31"/>
    </row>
    <row r="4172" spans="1:20" s="14" customFormat="1" x14ac:dyDescent="0.3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S4172" s="31"/>
      <c r="T4172" s="31"/>
    </row>
    <row r="4173" spans="1:20" s="14" customFormat="1" x14ac:dyDescent="0.3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S4173" s="31"/>
      <c r="T4173" s="31"/>
    </row>
    <row r="4174" spans="1:20" s="14" customFormat="1" x14ac:dyDescent="0.3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S4174" s="31"/>
      <c r="T4174" s="31"/>
    </row>
    <row r="4175" spans="1:20" s="14" customFormat="1" x14ac:dyDescent="0.3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S4175" s="31"/>
      <c r="T4175" s="31"/>
    </row>
    <row r="4176" spans="1:20" s="14" customFormat="1" x14ac:dyDescent="0.3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S4176" s="31"/>
      <c r="T4176" s="31"/>
    </row>
    <row r="4177" spans="1:20" s="14" customFormat="1" x14ac:dyDescent="0.3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S4177" s="31"/>
      <c r="T4177" s="31"/>
    </row>
    <row r="4178" spans="1:20" s="14" customFormat="1" x14ac:dyDescent="0.3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S4178" s="31"/>
      <c r="T4178" s="31"/>
    </row>
    <row r="4179" spans="1:20" s="14" customFormat="1" x14ac:dyDescent="0.3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S4179" s="31"/>
      <c r="T4179" s="31"/>
    </row>
    <row r="4180" spans="1:20" s="14" customFormat="1" x14ac:dyDescent="0.3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S4180" s="31"/>
      <c r="T4180" s="31"/>
    </row>
    <row r="4181" spans="1:20" s="14" customFormat="1" x14ac:dyDescent="0.3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S4181" s="31"/>
      <c r="T4181" s="31"/>
    </row>
    <row r="4182" spans="1:20" s="14" customFormat="1" x14ac:dyDescent="0.3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S4182" s="31"/>
      <c r="T4182" s="31"/>
    </row>
    <row r="4183" spans="1:20" s="14" customFormat="1" x14ac:dyDescent="0.3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S4183" s="31"/>
      <c r="T4183" s="31"/>
    </row>
    <row r="4184" spans="1:20" s="14" customFormat="1" x14ac:dyDescent="0.3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S4184" s="31"/>
      <c r="T4184" s="31"/>
    </row>
    <row r="4185" spans="1:20" s="14" customFormat="1" x14ac:dyDescent="0.3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S4185" s="31"/>
      <c r="T4185" s="31"/>
    </row>
    <row r="4186" spans="1:20" s="14" customFormat="1" x14ac:dyDescent="0.3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S4186" s="31"/>
      <c r="T4186" s="31"/>
    </row>
    <row r="4187" spans="1:20" s="14" customFormat="1" x14ac:dyDescent="0.3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S4187" s="31"/>
      <c r="T4187" s="31"/>
    </row>
    <row r="4188" spans="1:20" s="14" customFormat="1" x14ac:dyDescent="0.3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S4188" s="31"/>
      <c r="T4188" s="31"/>
    </row>
    <row r="4189" spans="1:20" s="14" customFormat="1" x14ac:dyDescent="0.3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S4189" s="31"/>
      <c r="T4189" s="31"/>
    </row>
    <row r="4190" spans="1:20" s="14" customFormat="1" x14ac:dyDescent="0.3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S4190" s="31"/>
      <c r="T4190" s="31"/>
    </row>
    <row r="4191" spans="1:20" s="14" customFormat="1" x14ac:dyDescent="0.3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S4191" s="31"/>
      <c r="T4191" s="31"/>
    </row>
    <row r="4192" spans="1:20" s="14" customFormat="1" x14ac:dyDescent="0.3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S4192" s="31"/>
      <c r="T4192" s="31"/>
    </row>
    <row r="4193" spans="1:20" s="14" customFormat="1" x14ac:dyDescent="0.3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S4193" s="31"/>
      <c r="T4193" s="31"/>
    </row>
    <row r="4194" spans="1:20" s="14" customFormat="1" x14ac:dyDescent="0.3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S4194" s="31"/>
      <c r="T4194" s="31"/>
    </row>
    <row r="4195" spans="1:20" s="14" customFormat="1" x14ac:dyDescent="0.3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S4195" s="31"/>
      <c r="T4195" s="31"/>
    </row>
    <row r="4196" spans="1:20" s="14" customFormat="1" x14ac:dyDescent="0.3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S4196" s="31"/>
      <c r="T4196" s="31"/>
    </row>
    <row r="4197" spans="1:20" s="14" customFormat="1" x14ac:dyDescent="0.3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S4197" s="31"/>
      <c r="T4197" s="31"/>
    </row>
    <row r="4198" spans="1:20" s="14" customFormat="1" x14ac:dyDescent="0.3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S4198" s="31"/>
      <c r="T4198" s="31"/>
    </row>
    <row r="4199" spans="1:20" s="14" customFormat="1" x14ac:dyDescent="0.3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S4199" s="31"/>
      <c r="T4199" s="31"/>
    </row>
    <row r="4200" spans="1:20" s="14" customFormat="1" x14ac:dyDescent="0.3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S4200" s="31"/>
      <c r="T4200" s="31"/>
    </row>
    <row r="4201" spans="1:20" s="14" customFormat="1" x14ac:dyDescent="0.3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S4201" s="31"/>
      <c r="T4201" s="31"/>
    </row>
    <row r="4202" spans="1:20" s="14" customFormat="1" x14ac:dyDescent="0.3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S4202" s="31"/>
      <c r="T4202" s="31"/>
    </row>
    <row r="4203" spans="1:20" s="14" customFormat="1" x14ac:dyDescent="0.3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S4203" s="31"/>
      <c r="T4203" s="31"/>
    </row>
    <row r="4204" spans="1:20" s="14" customFormat="1" x14ac:dyDescent="0.3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S4204" s="31"/>
      <c r="T4204" s="31"/>
    </row>
    <row r="4205" spans="1:20" s="14" customFormat="1" x14ac:dyDescent="0.3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S4205" s="31"/>
      <c r="T4205" s="31"/>
    </row>
    <row r="4206" spans="1:20" s="14" customFormat="1" x14ac:dyDescent="0.3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S4206" s="31"/>
      <c r="T4206" s="31"/>
    </row>
    <row r="4207" spans="1:20" s="14" customFormat="1" x14ac:dyDescent="0.3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S4207" s="31"/>
      <c r="T4207" s="31"/>
    </row>
    <row r="4208" spans="1:20" s="14" customFormat="1" x14ac:dyDescent="0.3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S4208" s="31"/>
      <c r="T4208" s="31"/>
    </row>
    <row r="4209" spans="1:20" s="14" customFormat="1" x14ac:dyDescent="0.3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S4209" s="31"/>
      <c r="T4209" s="31"/>
    </row>
    <row r="4210" spans="1:20" s="14" customFormat="1" x14ac:dyDescent="0.3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S4210" s="31"/>
      <c r="T4210" s="31"/>
    </row>
    <row r="4211" spans="1:20" s="14" customFormat="1" x14ac:dyDescent="0.3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S4211" s="31"/>
      <c r="T4211" s="31"/>
    </row>
    <row r="4212" spans="1:20" s="14" customFormat="1" x14ac:dyDescent="0.3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S4212" s="31"/>
      <c r="T4212" s="31"/>
    </row>
    <row r="4213" spans="1:20" s="14" customFormat="1" x14ac:dyDescent="0.3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S4213" s="31"/>
      <c r="T4213" s="31"/>
    </row>
    <row r="4214" spans="1:20" s="14" customFormat="1" x14ac:dyDescent="0.3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S4214" s="31"/>
      <c r="T4214" s="31"/>
    </row>
    <row r="4215" spans="1:20" s="14" customFormat="1" x14ac:dyDescent="0.3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S4215" s="31"/>
      <c r="T4215" s="31"/>
    </row>
    <row r="4216" spans="1:20" s="14" customFormat="1" x14ac:dyDescent="0.3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S4216" s="31"/>
      <c r="T4216" s="31"/>
    </row>
    <row r="4217" spans="1:20" s="14" customFormat="1" x14ac:dyDescent="0.3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S4217" s="31"/>
      <c r="T4217" s="31"/>
    </row>
    <row r="4218" spans="1:20" s="14" customFormat="1" x14ac:dyDescent="0.3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S4218" s="31"/>
      <c r="T4218" s="31"/>
    </row>
    <row r="4219" spans="1:20" s="14" customFormat="1" x14ac:dyDescent="0.3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S4219" s="31"/>
      <c r="T4219" s="31"/>
    </row>
    <row r="4220" spans="1:20" s="14" customFormat="1" x14ac:dyDescent="0.3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S4220" s="31"/>
      <c r="T4220" s="31"/>
    </row>
    <row r="4221" spans="1:20" s="14" customFormat="1" x14ac:dyDescent="0.3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S4221" s="31"/>
      <c r="T4221" s="31"/>
    </row>
    <row r="4222" spans="1:20" s="14" customFormat="1" x14ac:dyDescent="0.3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S4222" s="31"/>
      <c r="T4222" s="31"/>
    </row>
    <row r="4223" spans="1:20" s="14" customFormat="1" x14ac:dyDescent="0.3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S4223" s="31"/>
      <c r="T4223" s="31"/>
    </row>
    <row r="4224" spans="1:20" s="14" customFormat="1" x14ac:dyDescent="0.3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S4224" s="31"/>
      <c r="T4224" s="31"/>
    </row>
    <row r="4225" spans="1:20" s="14" customFormat="1" x14ac:dyDescent="0.3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S4225" s="31"/>
      <c r="T4225" s="31"/>
    </row>
    <row r="4226" spans="1:20" s="14" customFormat="1" x14ac:dyDescent="0.3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S4226" s="31"/>
      <c r="T4226" s="31"/>
    </row>
    <row r="4227" spans="1:20" s="14" customFormat="1" x14ac:dyDescent="0.3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S4227" s="31"/>
      <c r="T4227" s="31"/>
    </row>
    <row r="4228" spans="1:20" s="14" customFormat="1" x14ac:dyDescent="0.3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S4228" s="31"/>
      <c r="T4228" s="31"/>
    </row>
    <row r="4229" spans="1:20" s="14" customFormat="1" x14ac:dyDescent="0.3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S4229" s="31"/>
      <c r="T4229" s="31"/>
    </row>
    <row r="4230" spans="1:20" s="14" customFormat="1" x14ac:dyDescent="0.3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S4230" s="31"/>
      <c r="T4230" s="31"/>
    </row>
    <row r="4231" spans="1:20" s="14" customFormat="1" x14ac:dyDescent="0.3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S4231" s="31"/>
      <c r="T4231" s="31"/>
    </row>
    <row r="4232" spans="1:20" s="14" customFormat="1" x14ac:dyDescent="0.3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S4232" s="31"/>
      <c r="T4232" s="31"/>
    </row>
    <row r="4233" spans="1:20" s="14" customFormat="1" x14ac:dyDescent="0.3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S4233" s="31"/>
      <c r="T4233" s="31"/>
    </row>
    <row r="4234" spans="1:20" s="14" customFormat="1" x14ac:dyDescent="0.3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S4234" s="31"/>
      <c r="T4234" s="31"/>
    </row>
    <row r="4235" spans="1:20" s="14" customFormat="1" x14ac:dyDescent="0.3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S4235" s="31"/>
      <c r="T4235" s="31"/>
    </row>
    <row r="4236" spans="1:20" s="14" customFormat="1" x14ac:dyDescent="0.3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S4236" s="31"/>
      <c r="T4236" s="31"/>
    </row>
    <row r="4237" spans="1:20" s="14" customFormat="1" x14ac:dyDescent="0.3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S4237" s="31"/>
      <c r="T4237" s="31"/>
    </row>
    <row r="4238" spans="1:20" s="14" customFormat="1" x14ac:dyDescent="0.3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S4238" s="31"/>
      <c r="T4238" s="31"/>
    </row>
    <row r="4239" spans="1:20" s="14" customFormat="1" x14ac:dyDescent="0.3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S4239" s="31"/>
      <c r="T4239" s="31"/>
    </row>
    <row r="4240" spans="1:20" s="14" customFormat="1" x14ac:dyDescent="0.3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S4240" s="31"/>
      <c r="T4240" s="31"/>
    </row>
    <row r="4241" spans="1:20" s="14" customFormat="1" x14ac:dyDescent="0.3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S4241" s="31"/>
      <c r="T4241" s="31"/>
    </row>
    <row r="4242" spans="1:20" s="14" customFormat="1" x14ac:dyDescent="0.3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S4242" s="31"/>
      <c r="T4242" s="31"/>
    </row>
    <row r="4243" spans="1:20" s="14" customFormat="1" x14ac:dyDescent="0.3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S4243" s="31"/>
      <c r="T4243" s="31"/>
    </row>
    <row r="4244" spans="1:20" s="14" customFormat="1" x14ac:dyDescent="0.3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S4244" s="31"/>
      <c r="T4244" s="31"/>
    </row>
    <row r="4245" spans="1:20" s="14" customFormat="1" x14ac:dyDescent="0.3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S4245" s="31"/>
      <c r="T4245" s="31"/>
    </row>
    <row r="4246" spans="1:20" s="14" customFormat="1" x14ac:dyDescent="0.3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S4246" s="31"/>
      <c r="T4246" s="31"/>
    </row>
    <row r="4247" spans="1:20" s="14" customFormat="1" x14ac:dyDescent="0.3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S4247" s="31"/>
      <c r="T4247" s="31"/>
    </row>
    <row r="4248" spans="1:20" s="14" customFormat="1" x14ac:dyDescent="0.3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S4248" s="31"/>
      <c r="T4248" s="31"/>
    </row>
    <row r="4249" spans="1:20" s="14" customFormat="1" x14ac:dyDescent="0.3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S4249" s="31"/>
      <c r="T4249" s="31"/>
    </row>
    <row r="4250" spans="1:20" s="14" customFormat="1" x14ac:dyDescent="0.3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S4250" s="31"/>
      <c r="T4250" s="31"/>
    </row>
    <row r="4251" spans="1:20" s="14" customFormat="1" x14ac:dyDescent="0.3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S4251" s="31"/>
      <c r="T4251" s="31"/>
    </row>
    <row r="4252" spans="1:20" s="14" customFormat="1" x14ac:dyDescent="0.3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S4252" s="31"/>
      <c r="T4252" s="31"/>
    </row>
    <row r="4253" spans="1:20" s="14" customFormat="1" x14ac:dyDescent="0.3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S4253" s="31"/>
      <c r="T4253" s="31"/>
    </row>
    <row r="4254" spans="1:20" s="14" customFormat="1" x14ac:dyDescent="0.3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S4254" s="31"/>
      <c r="T4254" s="31"/>
    </row>
    <row r="4255" spans="1:20" s="14" customFormat="1" x14ac:dyDescent="0.3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S4255" s="31"/>
      <c r="T4255" s="31"/>
    </row>
    <row r="4256" spans="1:20" s="14" customFormat="1" x14ac:dyDescent="0.3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S4256" s="31"/>
      <c r="T4256" s="31"/>
    </row>
    <row r="4257" spans="1:20" s="14" customFormat="1" x14ac:dyDescent="0.3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S4257" s="31"/>
      <c r="T4257" s="31"/>
    </row>
    <row r="4258" spans="1:20" s="14" customFormat="1" x14ac:dyDescent="0.3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S4258" s="31"/>
      <c r="T4258" s="31"/>
    </row>
    <row r="4259" spans="1:20" s="14" customFormat="1" x14ac:dyDescent="0.3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S4259" s="31"/>
      <c r="T4259" s="31"/>
    </row>
    <row r="4260" spans="1:20" s="14" customFormat="1" x14ac:dyDescent="0.3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S4260" s="31"/>
      <c r="T4260" s="31"/>
    </row>
    <row r="4261" spans="1:20" s="14" customFormat="1" x14ac:dyDescent="0.3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S4261" s="31"/>
      <c r="T4261" s="31"/>
    </row>
    <row r="4262" spans="1:20" s="14" customFormat="1" x14ac:dyDescent="0.3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S4262" s="31"/>
      <c r="T4262" s="31"/>
    </row>
    <row r="4263" spans="1:20" s="14" customFormat="1" x14ac:dyDescent="0.3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S4263" s="31"/>
      <c r="T4263" s="31"/>
    </row>
    <row r="4264" spans="1:20" s="14" customFormat="1" x14ac:dyDescent="0.3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S4264" s="31"/>
      <c r="T4264" s="31"/>
    </row>
    <row r="4265" spans="1:20" s="14" customFormat="1" x14ac:dyDescent="0.3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S4265" s="31"/>
      <c r="T4265" s="31"/>
    </row>
    <row r="4266" spans="1:20" s="14" customFormat="1" x14ac:dyDescent="0.3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S4266" s="31"/>
      <c r="T4266" s="31"/>
    </row>
    <row r="4267" spans="1:20" s="14" customFormat="1" x14ac:dyDescent="0.3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S4267" s="31"/>
      <c r="T4267" s="31"/>
    </row>
    <row r="4268" spans="1:20" s="14" customFormat="1" x14ac:dyDescent="0.3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S4268" s="31"/>
      <c r="T4268" s="31"/>
    </row>
    <row r="4269" spans="1:20" s="14" customFormat="1" x14ac:dyDescent="0.3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S4269" s="31"/>
      <c r="T4269" s="31"/>
    </row>
    <row r="4270" spans="1:20" s="14" customFormat="1" x14ac:dyDescent="0.3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S4270" s="31"/>
      <c r="T4270" s="31"/>
    </row>
    <row r="4271" spans="1:20" s="14" customFormat="1" x14ac:dyDescent="0.3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S4271" s="31"/>
      <c r="T4271" s="31"/>
    </row>
    <row r="4272" spans="1:20" s="14" customFormat="1" x14ac:dyDescent="0.3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S4272" s="31"/>
      <c r="T4272" s="31"/>
    </row>
    <row r="4273" spans="1:20" s="14" customFormat="1" x14ac:dyDescent="0.3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S4273" s="31"/>
      <c r="T4273" s="31"/>
    </row>
    <row r="4274" spans="1:20" s="14" customFormat="1" x14ac:dyDescent="0.3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S4274" s="31"/>
      <c r="T4274" s="31"/>
    </row>
    <row r="4275" spans="1:20" s="14" customFormat="1" x14ac:dyDescent="0.3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S4275" s="31"/>
      <c r="T4275" s="31"/>
    </row>
    <row r="4276" spans="1:20" s="14" customFormat="1" x14ac:dyDescent="0.3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S4276" s="31"/>
      <c r="T4276" s="31"/>
    </row>
    <row r="4277" spans="1:20" s="14" customFormat="1" x14ac:dyDescent="0.3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S4277" s="31"/>
      <c r="T4277" s="31"/>
    </row>
    <row r="4278" spans="1:20" s="14" customFormat="1" x14ac:dyDescent="0.3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S4278" s="31"/>
      <c r="T4278" s="31"/>
    </row>
    <row r="4279" spans="1:20" s="14" customFormat="1" x14ac:dyDescent="0.3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S4279" s="31"/>
      <c r="T4279" s="31"/>
    </row>
    <row r="4280" spans="1:20" s="14" customFormat="1" x14ac:dyDescent="0.3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S4280" s="31"/>
      <c r="T4280" s="31"/>
    </row>
    <row r="4281" spans="1:20" s="14" customFormat="1" x14ac:dyDescent="0.3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S4281" s="31"/>
      <c r="T4281" s="31"/>
    </row>
    <row r="4282" spans="1:20" s="14" customFormat="1" x14ac:dyDescent="0.3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S4282" s="31"/>
      <c r="T4282" s="31"/>
    </row>
    <row r="4283" spans="1:20" s="14" customFormat="1" x14ac:dyDescent="0.3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S4283" s="31"/>
      <c r="T4283" s="31"/>
    </row>
    <row r="4284" spans="1:20" s="14" customFormat="1" x14ac:dyDescent="0.3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S4284" s="31"/>
      <c r="T4284" s="31"/>
    </row>
    <row r="4285" spans="1:20" s="14" customFormat="1" x14ac:dyDescent="0.3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S4285" s="31"/>
      <c r="T4285" s="31"/>
    </row>
    <row r="4286" spans="1:20" s="14" customFormat="1" x14ac:dyDescent="0.3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S4286" s="31"/>
      <c r="T4286" s="31"/>
    </row>
    <row r="4287" spans="1:20" s="14" customFormat="1" x14ac:dyDescent="0.3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S4287" s="31"/>
      <c r="T4287" s="31"/>
    </row>
    <row r="4288" spans="1:20" s="14" customFormat="1" x14ac:dyDescent="0.3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S4288" s="31"/>
      <c r="T4288" s="31"/>
    </row>
    <row r="4289" spans="1:20" s="14" customFormat="1" x14ac:dyDescent="0.3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S4289" s="31"/>
      <c r="T4289" s="31"/>
    </row>
    <row r="4290" spans="1:20" s="14" customFormat="1" x14ac:dyDescent="0.3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S4290" s="31"/>
      <c r="T4290" s="31"/>
    </row>
    <row r="4291" spans="1:20" s="14" customFormat="1" x14ac:dyDescent="0.3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S4291" s="31"/>
      <c r="T4291" s="31"/>
    </row>
    <row r="4292" spans="1:20" s="14" customFormat="1" x14ac:dyDescent="0.3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S4292" s="31"/>
      <c r="T4292" s="31"/>
    </row>
    <row r="4293" spans="1:20" s="14" customFormat="1" x14ac:dyDescent="0.3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S4293" s="31"/>
      <c r="T4293" s="31"/>
    </row>
    <row r="4294" spans="1:20" s="14" customFormat="1" x14ac:dyDescent="0.3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S4294" s="31"/>
      <c r="T4294" s="31"/>
    </row>
    <row r="4295" spans="1:20" s="14" customFormat="1" x14ac:dyDescent="0.3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S4295" s="31"/>
      <c r="T4295" s="31"/>
    </row>
    <row r="4296" spans="1:20" s="14" customFormat="1" x14ac:dyDescent="0.3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S4296" s="31"/>
      <c r="T4296" s="31"/>
    </row>
    <row r="4297" spans="1:20" s="14" customFormat="1" x14ac:dyDescent="0.3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S4297" s="31"/>
      <c r="T4297" s="31"/>
    </row>
    <row r="4298" spans="1:20" s="14" customFormat="1" x14ac:dyDescent="0.3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S4298" s="31"/>
      <c r="T4298" s="31"/>
    </row>
    <row r="4299" spans="1:20" s="14" customFormat="1" x14ac:dyDescent="0.3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S4299" s="31"/>
      <c r="T4299" s="31"/>
    </row>
    <row r="4300" spans="1:20" s="14" customFormat="1" x14ac:dyDescent="0.3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S4300" s="31"/>
      <c r="T4300" s="31"/>
    </row>
    <row r="4301" spans="1:20" s="14" customFormat="1" x14ac:dyDescent="0.3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S4301" s="31"/>
      <c r="T4301" s="31"/>
    </row>
    <row r="4302" spans="1:20" s="14" customFormat="1" x14ac:dyDescent="0.3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S4302" s="31"/>
      <c r="T4302" s="31"/>
    </row>
    <row r="4303" spans="1:20" s="14" customFormat="1" x14ac:dyDescent="0.3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S4303" s="31"/>
      <c r="T4303" s="31"/>
    </row>
    <row r="4304" spans="1:20" s="14" customFormat="1" x14ac:dyDescent="0.3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S4304" s="31"/>
      <c r="T4304" s="31"/>
    </row>
    <row r="4305" spans="1:20" s="14" customFormat="1" x14ac:dyDescent="0.3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S4305" s="31"/>
      <c r="T4305" s="31"/>
    </row>
    <row r="4306" spans="1:20" s="14" customFormat="1" x14ac:dyDescent="0.3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S4306" s="31"/>
      <c r="T4306" s="31"/>
    </row>
    <row r="4307" spans="1:20" s="14" customFormat="1" x14ac:dyDescent="0.3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S4307" s="31"/>
      <c r="T4307" s="31"/>
    </row>
    <row r="4308" spans="1:20" s="14" customFormat="1" x14ac:dyDescent="0.3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S4308" s="31"/>
      <c r="T4308" s="31"/>
    </row>
    <row r="4309" spans="1:20" s="14" customFormat="1" x14ac:dyDescent="0.3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S4309" s="31"/>
      <c r="T4309" s="31"/>
    </row>
    <row r="4310" spans="1:20" s="14" customFormat="1" x14ac:dyDescent="0.3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S4310" s="31"/>
      <c r="T4310" s="31"/>
    </row>
    <row r="4311" spans="1:20" s="14" customFormat="1" x14ac:dyDescent="0.3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S4311" s="31"/>
      <c r="T4311" s="31"/>
    </row>
    <row r="4312" spans="1:20" s="14" customFormat="1" x14ac:dyDescent="0.3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S4312" s="31"/>
      <c r="T4312" s="31"/>
    </row>
    <row r="4313" spans="1:20" s="14" customFormat="1" x14ac:dyDescent="0.3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S4313" s="31"/>
      <c r="T4313" s="31"/>
    </row>
    <row r="4314" spans="1:20" s="14" customFormat="1" x14ac:dyDescent="0.3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S4314" s="31"/>
      <c r="T4314" s="31"/>
    </row>
    <row r="4315" spans="1:20" s="14" customFormat="1" x14ac:dyDescent="0.3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S4315" s="31"/>
      <c r="T4315" s="31"/>
    </row>
    <row r="4316" spans="1:20" s="14" customFormat="1" x14ac:dyDescent="0.3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S4316" s="31"/>
      <c r="T4316" s="31"/>
    </row>
    <row r="4317" spans="1:20" s="14" customFormat="1" x14ac:dyDescent="0.3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S4317" s="31"/>
      <c r="T4317" s="31"/>
    </row>
    <row r="4318" spans="1:20" s="14" customFormat="1" x14ac:dyDescent="0.3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S4318" s="31"/>
      <c r="T4318" s="31"/>
    </row>
    <row r="4319" spans="1:20" s="14" customFormat="1" x14ac:dyDescent="0.3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S4319" s="31"/>
      <c r="T4319" s="31"/>
    </row>
    <row r="4320" spans="1:20" s="14" customFormat="1" x14ac:dyDescent="0.3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S4320" s="31"/>
      <c r="T4320" s="31"/>
    </row>
    <row r="4321" spans="1:20" s="14" customFormat="1" x14ac:dyDescent="0.3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S4321" s="31"/>
      <c r="T4321" s="31"/>
    </row>
    <row r="4322" spans="1:20" s="14" customFormat="1" x14ac:dyDescent="0.3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S4322" s="31"/>
      <c r="T4322" s="31"/>
    </row>
    <row r="4323" spans="1:20" s="14" customFormat="1" x14ac:dyDescent="0.3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S4323" s="31"/>
      <c r="T4323" s="31"/>
    </row>
    <row r="4324" spans="1:20" s="14" customFormat="1" x14ac:dyDescent="0.3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S4324" s="31"/>
      <c r="T4324" s="31"/>
    </row>
    <row r="4325" spans="1:20" s="14" customFormat="1" x14ac:dyDescent="0.3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S4325" s="31"/>
      <c r="T4325" s="31"/>
    </row>
    <row r="4326" spans="1:20" s="14" customFormat="1" x14ac:dyDescent="0.3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S4326" s="31"/>
      <c r="T4326" s="31"/>
    </row>
    <row r="4327" spans="1:20" s="14" customFormat="1" x14ac:dyDescent="0.3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S4327" s="31"/>
      <c r="T4327" s="31"/>
    </row>
    <row r="4328" spans="1:20" s="14" customFormat="1" x14ac:dyDescent="0.3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S4328" s="31"/>
      <c r="T4328" s="31"/>
    </row>
    <row r="4329" spans="1:20" s="14" customFormat="1" x14ac:dyDescent="0.3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S4329" s="31"/>
      <c r="T4329" s="31"/>
    </row>
    <row r="4330" spans="1:20" s="14" customFormat="1" x14ac:dyDescent="0.3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S4330" s="31"/>
      <c r="T4330" s="31"/>
    </row>
    <row r="4331" spans="1:20" s="14" customFormat="1" x14ac:dyDescent="0.3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S4331" s="31"/>
      <c r="T4331" s="31"/>
    </row>
    <row r="4332" spans="1:20" s="14" customFormat="1" x14ac:dyDescent="0.3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S4332" s="31"/>
      <c r="T4332" s="31"/>
    </row>
    <row r="4333" spans="1:20" s="14" customFormat="1" x14ac:dyDescent="0.3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S4333" s="31"/>
      <c r="T4333" s="31"/>
    </row>
    <row r="4334" spans="1:20" s="14" customFormat="1" x14ac:dyDescent="0.3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S4334" s="31"/>
      <c r="T4334" s="31"/>
    </row>
    <row r="4335" spans="1:20" s="14" customFormat="1" x14ac:dyDescent="0.3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S4335" s="31"/>
      <c r="T4335" s="31"/>
    </row>
    <row r="4336" spans="1:20" s="14" customFormat="1" x14ac:dyDescent="0.3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S4336" s="31"/>
      <c r="T4336" s="31"/>
    </row>
    <row r="4337" spans="1:20" s="14" customFormat="1" x14ac:dyDescent="0.3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S4337" s="31"/>
      <c r="T4337" s="31"/>
    </row>
    <row r="4338" spans="1:20" s="14" customFormat="1" x14ac:dyDescent="0.3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S4338" s="31"/>
      <c r="T4338" s="31"/>
    </row>
    <row r="4339" spans="1:20" s="14" customFormat="1" x14ac:dyDescent="0.3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S4339" s="31"/>
      <c r="T4339" s="31"/>
    </row>
    <row r="4340" spans="1:20" s="14" customFormat="1" x14ac:dyDescent="0.3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S4340" s="31"/>
      <c r="T4340" s="31"/>
    </row>
    <row r="4341" spans="1:20" s="14" customFormat="1" x14ac:dyDescent="0.3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S4341" s="31"/>
      <c r="T4341" s="31"/>
    </row>
    <row r="4342" spans="1:20" s="14" customFormat="1" x14ac:dyDescent="0.3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S4342" s="31"/>
      <c r="T4342" s="31"/>
    </row>
    <row r="4343" spans="1:20" s="14" customFormat="1" x14ac:dyDescent="0.3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S4343" s="31"/>
      <c r="T4343" s="31"/>
    </row>
    <row r="4344" spans="1:20" s="14" customFormat="1" x14ac:dyDescent="0.3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S4344" s="31"/>
      <c r="T4344" s="31"/>
    </row>
    <row r="4345" spans="1:20" s="14" customFormat="1" x14ac:dyDescent="0.3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S4345" s="31"/>
      <c r="T4345" s="31"/>
    </row>
    <row r="4346" spans="1:20" s="14" customFormat="1" x14ac:dyDescent="0.3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S4346" s="31"/>
      <c r="T4346" s="31"/>
    </row>
    <row r="4347" spans="1:20" s="14" customFormat="1" x14ac:dyDescent="0.3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S4347" s="31"/>
      <c r="T4347" s="31"/>
    </row>
    <row r="4348" spans="1:20" s="14" customFormat="1" x14ac:dyDescent="0.3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S4348" s="31"/>
      <c r="T4348" s="31"/>
    </row>
    <row r="4349" spans="1:20" s="14" customFormat="1" x14ac:dyDescent="0.3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S4349" s="31"/>
      <c r="T4349" s="31"/>
    </row>
    <row r="4350" spans="1:20" s="14" customFormat="1" x14ac:dyDescent="0.3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S4350" s="31"/>
      <c r="T4350" s="31"/>
    </row>
    <row r="4351" spans="1:20" s="14" customFormat="1" x14ac:dyDescent="0.3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S4351" s="31"/>
      <c r="T4351" s="31"/>
    </row>
    <row r="4352" spans="1:20" s="14" customFormat="1" x14ac:dyDescent="0.3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S4352" s="31"/>
      <c r="T4352" s="31"/>
    </row>
    <row r="4353" spans="1:20" s="14" customFormat="1" x14ac:dyDescent="0.3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S4353" s="31"/>
      <c r="T4353" s="31"/>
    </row>
    <row r="4354" spans="1:20" s="14" customFormat="1" x14ac:dyDescent="0.3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S4354" s="31"/>
      <c r="T4354" s="31"/>
    </row>
    <row r="4355" spans="1:20" s="14" customFormat="1" x14ac:dyDescent="0.3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S4355" s="31"/>
      <c r="T4355" s="31"/>
    </row>
    <row r="4356" spans="1:20" s="14" customFormat="1" x14ac:dyDescent="0.3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S4356" s="31"/>
      <c r="T4356" s="31"/>
    </row>
    <row r="4357" spans="1:20" s="14" customFormat="1" x14ac:dyDescent="0.3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S4357" s="31"/>
      <c r="T4357" s="31"/>
    </row>
    <row r="4358" spans="1:20" s="14" customFormat="1" x14ac:dyDescent="0.3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S4358" s="31"/>
      <c r="T4358" s="31"/>
    </row>
    <row r="4359" spans="1:20" s="14" customFormat="1" x14ac:dyDescent="0.3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S4359" s="31"/>
      <c r="T4359" s="31"/>
    </row>
    <row r="4360" spans="1:20" s="14" customFormat="1" x14ac:dyDescent="0.3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S4360" s="31"/>
      <c r="T4360" s="31"/>
    </row>
    <row r="4361" spans="1:20" s="14" customFormat="1" x14ac:dyDescent="0.3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S4361" s="31"/>
      <c r="T4361" s="31"/>
    </row>
    <row r="4362" spans="1:20" s="14" customFormat="1" x14ac:dyDescent="0.3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S4362" s="31"/>
      <c r="T4362" s="31"/>
    </row>
    <row r="4363" spans="1:20" s="14" customFormat="1" x14ac:dyDescent="0.3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S4363" s="31"/>
      <c r="T4363" s="31"/>
    </row>
    <row r="4364" spans="1:20" s="14" customFormat="1" x14ac:dyDescent="0.3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S4364" s="31"/>
      <c r="T4364" s="31"/>
    </row>
    <row r="4365" spans="1:20" s="14" customFormat="1" x14ac:dyDescent="0.3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S4365" s="31"/>
      <c r="T4365" s="31"/>
    </row>
    <row r="4366" spans="1:20" s="14" customFormat="1" x14ac:dyDescent="0.3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S4366" s="31"/>
      <c r="T4366" s="31"/>
    </row>
    <row r="4367" spans="1:20" s="14" customFormat="1" x14ac:dyDescent="0.3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S4367" s="31"/>
      <c r="T4367" s="31"/>
    </row>
    <row r="4368" spans="1:20" s="14" customFormat="1" x14ac:dyDescent="0.3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S4368" s="31"/>
      <c r="T4368" s="31"/>
    </row>
    <row r="4369" spans="1:20" s="14" customFormat="1" x14ac:dyDescent="0.3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S4369" s="31"/>
      <c r="T4369" s="31"/>
    </row>
    <row r="4370" spans="1:20" s="14" customFormat="1" x14ac:dyDescent="0.3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S4370" s="31"/>
      <c r="T4370" s="31"/>
    </row>
    <row r="4371" spans="1:20" s="14" customFormat="1" x14ac:dyDescent="0.3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S4371" s="31"/>
      <c r="T4371" s="31"/>
    </row>
    <row r="4372" spans="1:20" s="14" customFormat="1" x14ac:dyDescent="0.3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S4372" s="31"/>
      <c r="T4372" s="31"/>
    </row>
    <row r="4373" spans="1:20" s="14" customFormat="1" x14ac:dyDescent="0.3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S4373" s="31"/>
      <c r="T4373" s="31"/>
    </row>
    <row r="4374" spans="1:20" s="14" customFormat="1" x14ac:dyDescent="0.3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S4374" s="31"/>
      <c r="T4374" s="31"/>
    </row>
    <row r="4375" spans="1:20" s="14" customFormat="1" x14ac:dyDescent="0.3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S4375" s="31"/>
      <c r="T4375" s="31"/>
    </row>
    <row r="4376" spans="1:20" s="14" customFormat="1" x14ac:dyDescent="0.3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S4376" s="31"/>
      <c r="T4376" s="31"/>
    </row>
    <row r="4377" spans="1:20" s="14" customFormat="1" x14ac:dyDescent="0.3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S4377" s="31"/>
      <c r="T4377" s="31"/>
    </row>
    <row r="4378" spans="1:20" s="14" customFormat="1" x14ac:dyDescent="0.3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S4378" s="31"/>
      <c r="T4378" s="31"/>
    </row>
    <row r="4379" spans="1:20" s="14" customFormat="1" x14ac:dyDescent="0.3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S4379" s="31"/>
      <c r="T4379" s="31"/>
    </row>
    <row r="4380" spans="1:20" s="14" customFormat="1" x14ac:dyDescent="0.3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S4380" s="31"/>
      <c r="T4380" s="31"/>
    </row>
    <row r="4381" spans="1:20" s="14" customFormat="1" x14ac:dyDescent="0.3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S4381" s="31"/>
      <c r="T4381" s="31"/>
    </row>
    <row r="4382" spans="1:20" s="14" customFormat="1" x14ac:dyDescent="0.3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S4382" s="31"/>
      <c r="T4382" s="31"/>
    </row>
    <row r="4383" spans="1:20" s="14" customFormat="1" x14ac:dyDescent="0.3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S4383" s="31"/>
      <c r="T4383" s="31"/>
    </row>
    <row r="4384" spans="1:20" s="14" customFormat="1" x14ac:dyDescent="0.3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S4384" s="31"/>
      <c r="T4384" s="31"/>
    </row>
    <row r="4385" spans="1:20" s="14" customFormat="1" x14ac:dyDescent="0.3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S4385" s="31"/>
      <c r="T4385" s="31"/>
    </row>
    <row r="4386" spans="1:20" s="14" customFormat="1" x14ac:dyDescent="0.3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S4386" s="31"/>
      <c r="T4386" s="31"/>
    </row>
    <row r="4387" spans="1:20" s="14" customFormat="1" x14ac:dyDescent="0.3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S4387" s="31"/>
      <c r="T4387" s="31"/>
    </row>
    <row r="4388" spans="1:20" s="14" customFormat="1" x14ac:dyDescent="0.3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S4388" s="31"/>
      <c r="T4388" s="31"/>
    </row>
    <row r="4389" spans="1:20" s="14" customFormat="1" x14ac:dyDescent="0.3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S4389" s="31"/>
      <c r="T4389" s="31"/>
    </row>
    <row r="4390" spans="1:20" s="14" customFormat="1" x14ac:dyDescent="0.3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S4390" s="31"/>
      <c r="T4390" s="31"/>
    </row>
    <row r="4391" spans="1:20" s="14" customFormat="1" x14ac:dyDescent="0.3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S4391" s="31"/>
      <c r="T4391" s="31"/>
    </row>
    <row r="4392" spans="1:20" s="14" customFormat="1" x14ac:dyDescent="0.3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S4392" s="31"/>
      <c r="T4392" s="31"/>
    </row>
    <row r="4393" spans="1:20" s="14" customFormat="1" x14ac:dyDescent="0.3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S4393" s="31"/>
      <c r="T4393" s="31"/>
    </row>
    <row r="4394" spans="1:20" s="14" customFormat="1" x14ac:dyDescent="0.3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S4394" s="31"/>
      <c r="T4394" s="31"/>
    </row>
    <row r="4395" spans="1:20" s="14" customFormat="1" x14ac:dyDescent="0.3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S4395" s="31"/>
      <c r="T4395" s="31"/>
    </row>
    <row r="4396" spans="1:20" s="14" customFormat="1" x14ac:dyDescent="0.3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S4396" s="31"/>
      <c r="T4396" s="31"/>
    </row>
    <row r="4397" spans="1:20" s="14" customFormat="1" x14ac:dyDescent="0.3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S4397" s="31"/>
      <c r="T4397" s="31"/>
    </row>
    <row r="4398" spans="1:20" s="14" customFormat="1" x14ac:dyDescent="0.3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S4398" s="31"/>
      <c r="T4398" s="31"/>
    </row>
    <row r="4399" spans="1:20" s="14" customFormat="1" x14ac:dyDescent="0.3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S4399" s="31"/>
      <c r="T4399" s="31"/>
    </row>
    <row r="4400" spans="1:20" s="14" customFormat="1" x14ac:dyDescent="0.3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S4400" s="31"/>
      <c r="T4400" s="31"/>
    </row>
    <row r="4401" spans="1:20" s="14" customFormat="1" x14ac:dyDescent="0.3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S4401" s="31"/>
      <c r="T4401" s="31"/>
    </row>
    <row r="4402" spans="1:20" s="14" customFormat="1" x14ac:dyDescent="0.3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S4402" s="31"/>
      <c r="T4402" s="31"/>
    </row>
    <row r="4403" spans="1:20" s="14" customFormat="1" x14ac:dyDescent="0.3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S4403" s="31"/>
      <c r="T4403" s="31"/>
    </row>
    <row r="4404" spans="1:20" s="14" customFormat="1" x14ac:dyDescent="0.3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S4404" s="31"/>
      <c r="T4404" s="31"/>
    </row>
    <row r="4405" spans="1:20" s="14" customFormat="1" x14ac:dyDescent="0.3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S4405" s="31"/>
      <c r="T4405" s="31"/>
    </row>
    <row r="4406" spans="1:20" s="14" customFormat="1" x14ac:dyDescent="0.3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S4406" s="31"/>
      <c r="T4406" s="31"/>
    </row>
    <row r="4407" spans="1:20" s="14" customFormat="1" x14ac:dyDescent="0.3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S4407" s="31"/>
      <c r="T4407" s="31"/>
    </row>
    <row r="4408" spans="1:20" s="14" customFormat="1" x14ac:dyDescent="0.3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S4408" s="31"/>
      <c r="T4408" s="31"/>
    </row>
    <row r="4409" spans="1:20" s="14" customFormat="1" x14ac:dyDescent="0.3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S4409" s="31"/>
      <c r="T4409" s="31"/>
    </row>
    <row r="4410" spans="1:20" s="14" customFormat="1" x14ac:dyDescent="0.3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S4410" s="31"/>
      <c r="T4410" s="31"/>
    </row>
    <row r="4411" spans="1:20" s="14" customFormat="1" x14ac:dyDescent="0.3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S4411" s="31"/>
      <c r="T4411" s="31"/>
    </row>
    <row r="4412" spans="1:20" s="14" customFormat="1" x14ac:dyDescent="0.3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S4412" s="31"/>
      <c r="T4412" s="31"/>
    </row>
    <row r="4413" spans="1:20" s="14" customFormat="1" x14ac:dyDescent="0.3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S4413" s="31"/>
      <c r="T4413" s="31"/>
    </row>
    <row r="4414" spans="1:20" s="14" customFormat="1" x14ac:dyDescent="0.3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S4414" s="31"/>
      <c r="T4414" s="31"/>
    </row>
    <row r="4415" spans="1:20" s="14" customFormat="1" x14ac:dyDescent="0.3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S4415" s="31"/>
      <c r="T4415" s="31"/>
    </row>
    <row r="4416" spans="1:20" s="14" customFormat="1" x14ac:dyDescent="0.3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S4416" s="31"/>
      <c r="T4416" s="31"/>
    </row>
    <row r="4417" spans="1:20" s="14" customFormat="1" x14ac:dyDescent="0.3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S4417" s="31"/>
      <c r="T4417" s="31"/>
    </row>
    <row r="4418" spans="1:20" s="14" customFormat="1" x14ac:dyDescent="0.3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S4418" s="31"/>
      <c r="T4418" s="31"/>
    </row>
    <row r="4419" spans="1:20" s="14" customFormat="1" x14ac:dyDescent="0.3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S4419" s="31"/>
      <c r="T4419" s="31"/>
    </row>
    <row r="4420" spans="1:20" s="14" customFormat="1" x14ac:dyDescent="0.3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S4420" s="31"/>
      <c r="T4420" s="31"/>
    </row>
    <row r="4421" spans="1:20" s="14" customFormat="1" x14ac:dyDescent="0.3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S4421" s="31"/>
      <c r="T4421" s="31"/>
    </row>
    <row r="4422" spans="1:20" s="14" customFormat="1" x14ac:dyDescent="0.3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S4422" s="31"/>
      <c r="T4422" s="31"/>
    </row>
    <row r="4423" spans="1:20" s="14" customFormat="1" x14ac:dyDescent="0.3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S4423" s="31"/>
      <c r="T4423" s="31"/>
    </row>
    <row r="4424" spans="1:20" s="14" customFormat="1" x14ac:dyDescent="0.3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S4424" s="31"/>
      <c r="T4424" s="31"/>
    </row>
    <row r="4425" spans="1:20" s="14" customFormat="1" x14ac:dyDescent="0.3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S4425" s="31"/>
      <c r="T4425" s="31"/>
    </row>
    <row r="4426" spans="1:20" s="14" customFormat="1" x14ac:dyDescent="0.3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S4426" s="31"/>
      <c r="T4426" s="31"/>
    </row>
    <row r="4427" spans="1:20" s="14" customFormat="1" x14ac:dyDescent="0.3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S4427" s="31"/>
      <c r="T4427" s="31"/>
    </row>
    <row r="4428" spans="1:20" s="14" customFormat="1" x14ac:dyDescent="0.3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S4428" s="31"/>
      <c r="T4428" s="31"/>
    </row>
    <row r="4429" spans="1:20" s="14" customFormat="1" x14ac:dyDescent="0.3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S4429" s="31"/>
      <c r="T4429" s="31"/>
    </row>
    <row r="4430" spans="1:20" s="14" customFormat="1" x14ac:dyDescent="0.3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S4430" s="31"/>
      <c r="T4430" s="31"/>
    </row>
    <row r="4431" spans="1:20" s="14" customFormat="1" x14ac:dyDescent="0.3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S4431" s="31"/>
      <c r="T4431" s="31"/>
    </row>
    <row r="4432" spans="1:20" s="14" customFormat="1" x14ac:dyDescent="0.3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S4432" s="31"/>
      <c r="T4432" s="31"/>
    </row>
    <row r="4433" spans="1:20" s="14" customFormat="1" x14ac:dyDescent="0.3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S4433" s="31"/>
      <c r="T4433" s="31"/>
    </row>
    <row r="4434" spans="1:20" s="14" customFormat="1" x14ac:dyDescent="0.3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S4434" s="31"/>
      <c r="T4434" s="31"/>
    </row>
    <row r="4435" spans="1:20" s="14" customFormat="1" x14ac:dyDescent="0.3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S4435" s="31"/>
      <c r="T4435" s="31"/>
    </row>
    <row r="4436" spans="1:20" s="14" customFormat="1" x14ac:dyDescent="0.3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S4436" s="31"/>
      <c r="T4436" s="31"/>
    </row>
    <row r="4437" spans="1:20" s="14" customFormat="1" x14ac:dyDescent="0.3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S4437" s="31"/>
      <c r="T4437" s="31"/>
    </row>
    <row r="4438" spans="1:20" s="14" customFormat="1" x14ac:dyDescent="0.3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S4438" s="31"/>
      <c r="T4438" s="31"/>
    </row>
    <row r="4439" spans="1:20" s="14" customFormat="1" x14ac:dyDescent="0.3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S4439" s="31"/>
      <c r="T4439" s="31"/>
    </row>
    <row r="4440" spans="1:20" s="14" customFormat="1" x14ac:dyDescent="0.3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S4440" s="31"/>
      <c r="T4440" s="31"/>
    </row>
    <row r="4441" spans="1:20" s="14" customFormat="1" x14ac:dyDescent="0.3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S4441" s="31"/>
      <c r="T4441" s="31"/>
    </row>
    <row r="4442" spans="1:20" s="14" customFormat="1" x14ac:dyDescent="0.3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S4442" s="31"/>
      <c r="T4442" s="31"/>
    </row>
    <row r="4443" spans="1:20" s="14" customFormat="1" x14ac:dyDescent="0.3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S4443" s="31"/>
      <c r="T4443" s="31"/>
    </row>
    <row r="4444" spans="1:20" s="14" customFormat="1" x14ac:dyDescent="0.3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S4444" s="31"/>
      <c r="T4444" s="31"/>
    </row>
    <row r="4445" spans="1:20" s="14" customFormat="1" x14ac:dyDescent="0.3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S4445" s="31"/>
      <c r="T4445" s="31"/>
    </row>
    <row r="4446" spans="1:20" s="14" customFormat="1" x14ac:dyDescent="0.3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S4446" s="31"/>
      <c r="T4446" s="31"/>
    </row>
    <row r="4447" spans="1:20" s="14" customFormat="1" x14ac:dyDescent="0.3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S4447" s="31"/>
      <c r="T4447" s="31"/>
    </row>
    <row r="4448" spans="1:20" s="14" customFormat="1" x14ac:dyDescent="0.3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S4448" s="31"/>
      <c r="T4448" s="31"/>
    </row>
    <row r="4449" spans="1:20" s="14" customFormat="1" x14ac:dyDescent="0.3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S4449" s="31"/>
      <c r="T4449" s="31"/>
    </row>
    <row r="4450" spans="1:20" s="14" customFormat="1" x14ac:dyDescent="0.3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S4450" s="31"/>
      <c r="T4450" s="31"/>
    </row>
    <row r="4451" spans="1:20" s="14" customFormat="1" x14ac:dyDescent="0.3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S4451" s="31"/>
      <c r="T4451" s="31"/>
    </row>
    <row r="4452" spans="1:20" s="14" customFormat="1" x14ac:dyDescent="0.3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S4452" s="31"/>
      <c r="T4452" s="31"/>
    </row>
    <row r="4453" spans="1:20" s="14" customFormat="1" x14ac:dyDescent="0.3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S4453" s="31"/>
      <c r="T4453" s="31"/>
    </row>
    <row r="4454" spans="1:20" s="14" customFormat="1" x14ac:dyDescent="0.3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S4454" s="31"/>
      <c r="T4454" s="31"/>
    </row>
    <row r="4455" spans="1:20" s="14" customFormat="1" x14ac:dyDescent="0.3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S4455" s="31"/>
      <c r="T4455" s="31"/>
    </row>
    <row r="4456" spans="1:20" s="14" customFormat="1" x14ac:dyDescent="0.3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S4456" s="31"/>
      <c r="T4456" s="31"/>
    </row>
    <row r="4457" spans="1:20" s="14" customFormat="1" x14ac:dyDescent="0.3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S4457" s="31"/>
      <c r="T4457" s="31"/>
    </row>
    <row r="4458" spans="1:20" s="14" customFormat="1" x14ac:dyDescent="0.3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S4458" s="31"/>
      <c r="T4458" s="31"/>
    </row>
    <row r="4459" spans="1:20" s="14" customFormat="1" x14ac:dyDescent="0.3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S4459" s="31"/>
      <c r="T4459" s="31"/>
    </row>
    <row r="4460" spans="1:20" s="14" customFormat="1" x14ac:dyDescent="0.3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S4460" s="31"/>
      <c r="T4460" s="31"/>
    </row>
    <row r="4461" spans="1:20" s="14" customFormat="1" x14ac:dyDescent="0.3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S4461" s="31"/>
      <c r="T4461" s="31"/>
    </row>
    <row r="4462" spans="1:20" s="14" customFormat="1" x14ac:dyDescent="0.3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S4462" s="31"/>
      <c r="T4462" s="31"/>
    </row>
    <row r="4463" spans="1:20" s="14" customFormat="1" x14ac:dyDescent="0.3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S4463" s="31"/>
      <c r="T4463" s="31"/>
    </row>
    <row r="4464" spans="1:20" s="14" customFormat="1" x14ac:dyDescent="0.3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S4464" s="31"/>
      <c r="T4464" s="31"/>
    </row>
    <row r="4465" spans="1:20" s="14" customFormat="1" x14ac:dyDescent="0.3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S4465" s="31"/>
      <c r="T4465" s="31"/>
    </row>
    <row r="4466" spans="1:20" s="14" customFormat="1" x14ac:dyDescent="0.3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S4466" s="31"/>
      <c r="T4466" s="31"/>
    </row>
    <row r="4467" spans="1:20" s="14" customFormat="1" x14ac:dyDescent="0.3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S4467" s="31"/>
      <c r="T4467" s="31"/>
    </row>
    <row r="4468" spans="1:20" s="14" customFormat="1" x14ac:dyDescent="0.3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S4468" s="31"/>
      <c r="T4468" s="31"/>
    </row>
    <row r="4469" spans="1:20" s="14" customFormat="1" x14ac:dyDescent="0.3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S4469" s="31"/>
      <c r="T4469" s="31"/>
    </row>
    <row r="4470" spans="1:20" s="14" customFormat="1" x14ac:dyDescent="0.3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S4470" s="31"/>
      <c r="T4470" s="31"/>
    </row>
    <row r="4471" spans="1:20" s="14" customFormat="1" x14ac:dyDescent="0.3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S4471" s="31"/>
      <c r="T4471" s="31"/>
    </row>
    <row r="4472" spans="1:20" s="14" customFormat="1" x14ac:dyDescent="0.3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S4472" s="31"/>
      <c r="T4472" s="31"/>
    </row>
    <row r="4473" spans="1:20" s="14" customFormat="1" x14ac:dyDescent="0.3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S4473" s="31"/>
      <c r="T4473" s="31"/>
    </row>
    <row r="4474" spans="1:20" s="14" customFormat="1" x14ac:dyDescent="0.3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S4474" s="31"/>
      <c r="T4474" s="31"/>
    </row>
    <row r="4475" spans="1:20" s="14" customFormat="1" x14ac:dyDescent="0.3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S4475" s="31"/>
      <c r="T4475" s="31"/>
    </row>
    <row r="4476" spans="1:20" s="14" customFormat="1" x14ac:dyDescent="0.3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S4476" s="31"/>
      <c r="T4476" s="31"/>
    </row>
    <row r="4477" spans="1:20" s="14" customFormat="1" x14ac:dyDescent="0.3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S4477" s="31"/>
      <c r="T4477" s="31"/>
    </row>
    <row r="4478" spans="1:20" s="14" customFormat="1" x14ac:dyDescent="0.3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S4478" s="31"/>
      <c r="T4478" s="31"/>
    </row>
    <row r="4479" spans="1:20" s="14" customFormat="1" x14ac:dyDescent="0.3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S4479" s="31"/>
      <c r="T4479" s="31"/>
    </row>
    <row r="4480" spans="1:20" s="14" customFormat="1" x14ac:dyDescent="0.3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S4480" s="31"/>
      <c r="T4480" s="31"/>
    </row>
    <row r="4481" spans="1:20" s="14" customFormat="1" x14ac:dyDescent="0.3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S4481" s="31"/>
      <c r="T4481" s="31"/>
    </row>
    <row r="4482" spans="1:20" s="14" customFormat="1" x14ac:dyDescent="0.3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S4482" s="31"/>
      <c r="T4482" s="31"/>
    </row>
    <row r="4483" spans="1:20" s="14" customFormat="1" x14ac:dyDescent="0.3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S4483" s="31"/>
      <c r="T4483" s="31"/>
    </row>
    <row r="4484" spans="1:20" s="14" customFormat="1" x14ac:dyDescent="0.3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S4484" s="31"/>
      <c r="T4484" s="31"/>
    </row>
    <row r="4485" spans="1:20" s="14" customFormat="1" x14ac:dyDescent="0.3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S4485" s="31"/>
      <c r="T4485" s="31"/>
    </row>
    <row r="4486" spans="1:20" s="14" customFormat="1" x14ac:dyDescent="0.3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S4486" s="31"/>
      <c r="T4486" s="31"/>
    </row>
    <row r="4487" spans="1:20" s="14" customFormat="1" x14ac:dyDescent="0.3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S4487" s="31"/>
      <c r="T4487" s="31"/>
    </row>
    <row r="4488" spans="1:20" s="14" customFormat="1" x14ac:dyDescent="0.3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S4488" s="31"/>
      <c r="T4488" s="31"/>
    </row>
    <row r="4489" spans="1:20" s="14" customFormat="1" x14ac:dyDescent="0.3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S4489" s="31"/>
      <c r="T4489" s="31"/>
    </row>
    <row r="4490" spans="1:20" s="14" customFormat="1" x14ac:dyDescent="0.3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S4490" s="31"/>
      <c r="T4490" s="31"/>
    </row>
    <row r="4491" spans="1:20" s="14" customFormat="1" x14ac:dyDescent="0.3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S4491" s="31"/>
      <c r="T4491" s="31"/>
    </row>
    <row r="4492" spans="1:20" s="14" customFormat="1" x14ac:dyDescent="0.3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S4492" s="31"/>
      <c r="T4492" s="31"/>
    </row>
    <row r="4493" spans="1:20" s="14" customFormat="1" x14ac:dyDescent="0.3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S4493" s="31"/>
      <c r="T4493" s="31"/>
    </row>
    <row r="4494" spans="1:20" s="14" customFormat="1" x14ac:dyDescent="0.3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S4494" s="31"/>
      <c r="T4494" s="31"/>
    </row>
    <row r="4495" spans="1:20" s="14" customFormat="1" x14ac:dyDescent="0.3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S4495" s="31"/>
      <c r="T4495" s="31"/>
    </row>
    <row r="4496" spans="1:20" s="14" customFormat="1" x14ac:dyDescent="0.3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S4496" s="31"/>
      <c r="T4496" s="31"/>
    </row>
    <row r="4497" spans="1:20" s="14" customFormat="1" x14ac:dyDescent="0.3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S4497" s="31"/>
      <c r="T4497" s="31"/>
    </row>
    <row r="4498" spans="1:20" s="14" customFormat="1" x14ac:dyDescent="0.3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S4498" s="31"/>
      <c r="T4498" s="31"/>
    </row>
    <row r="4499" spans="1:20" s="14" customFormat="1" x14ac:dyDescent="0.3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S4499" s="31"/>
      <c r="T4499" s="31"/>
    </row>
    <row r="4500" spans="1:20" s="14" customFormat="1" x14ac:dyDescent="0.3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S4500" s="31"/>
      <c r="T4500" s="31"/>
    </row>
    <row r="4501" spans="1:20" s="14" customFormat="1" x14ac:dyDescent="0.3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S4501" s="31"/>
      <c r="T4501" s="31"/>
    </row>
    <row r="4502" spans="1:20" s="14" customFormat="1" x14ac:dyDescent="0.3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S4502" s="31"/>
      <c r="T4502" s="31"/>
    </row>
    <row r="4503" spans="1:20" s="14" customFormat="1" x14ac:dyDescent="0.3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S4503" s="31"/>
      <c r="T4503" s="31"/>
    </row>
    <row r="4504" spans="1:20" s="14" customFormat="1" x14ac:dyDescent="0.3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S4504" s="31"/>
      <c r="T4504" s="31"/>
    </row>
    <row r="4505" spans="1:20" s="14" customFormat="1" x14ac:dyDescent="0.3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S4505" s="31"/>
      <c r="T4505" s="31"/>
    </row>
    <row r="4506" spans="1:20" s="14" customFormat="1" x14ac:dyDescent="0.3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S4506" s="31"/>
      <c r="T4506" s="31"/>
    </row>
    <row r="4507" spans="1:20" s="14" customFormat="1" x14ac:dyDescent="0.3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S4507" s="31"/>
      <c r="T4507" s="31"/>
    </row>
    <row r="4508" spans="1:20" s="14" customFormat="1" x14ac:dyDescent="0.3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S4508" s="31"/>
      <c r="T4508" s="31"/>
    </row>
    <row r="4509" spans="1:20" s="14" customFormat="1" x14ac:dyDescent="0.3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S4509" s="31"/>
      <c r="T4509" s="31"/>
    </row>
    <row r="4510" spans="1:20" s="14" customFormat="1" x14ac:dyDescent="0.3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S4510" s="31"/>
      <c r="T4510" s="31"/>
    </row>
    <row r="4511" spans="1:20" s="14" customFormat="1" x14ac:dyDescent="0.3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S4511" s="31"/>
      <c r="T4511" s="31"/>
    </row>
    <row r="4512" spans="1:20" s="14" customFormat="1" x14ac:dyDescent="0.3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S4512" s="31"/>
      <c r="T4512" s="31"/>
    </row>
    <row r="4513" spans="1:20" s="14" customFormat="1" x14ac:dyDescent="0.3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S4513" s="31"/>
      <c r="T4513" s="31"/>
    </row>
    <row r="4514" spans="1:20" s="14" customFormat="1" x14ac:dyDescent="0.3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S4514" s="31"/>
      <c r="T4514" s="31"/>
    </row>
    <row r="4515" spans="1:20" s="14" customFormat="1" x14ac:dyDescent="0.3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S4515" s="31"/>
      <c r="T4515" s="31"/>
    </row>
    <row r="4516" spans="1:20" s="14" customFormat="1" x14ac:dyDescent="0.3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S4516" s="31"/>
      <c r="T4516" s="31"/>
    </row>
    <row r="4517" spans="1:20" s="14" customFormat="1" x14ac:dyDescent="0.3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S4517" s="31"/>
      <c r="T4517" s="31"/>
    </row>
    <row r="4518" spans="1:20" s="14" customFormat="1" x14ac:dyDescent="0.3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S4518" s="31"/>
      <c r="T4518" s="31"/>
    </row>
    <row r="4519" spans="1:20" s="14" customFormat="1" x14ac:dyDescent="0.3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S4519" s="31"/>
      <c r="T4519" s="31"/>
    </row>
    <row r="4520" spans="1:20" s="14" customFormat="1" x14ac:dyDescent="0.3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S4520" s="31"/>
      <c r="T4520" s="31"/>
    </row>
    <row r="4521" spans="1:20" s="14" customFormat="1" x14ac:dyDescent="0.3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S4521" s="31"/>
      <c r="T4521" s="31"/>
    </row>
    <row r="4522" spans="1:20" s="14" customFormat="1" x14ac:dyDescent="0.3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S4522" s="31"/>
      <c r="T4522" s="31"/>
    </row>
    <row r="4523" spans="1:20" s="14" customFormat="1" x14ac:dyDescent="0.3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S4523" s="31"/>
      <c r="T4523" s="31"/>
    </row>
    <row r="4524" spans="1:20" s="14" customFormat="1" x14ac:dyDescent="0.3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S4524" s="31"/>
      <c r="T4524" s="31"/>
    </row>
    <row r="4525" spans="1:20" s="14" customFormat="1" x14ac:dyDescent="0.3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S4525" s="31"/>
      <c r="T4525" s="31"/>
    </row>
    <row r="4526" spans="1:20" s="14" customFormat="1" x14ac:dyDescent="0.3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S4526" s="31"/>
      <c r="T4526" s="31"/>
    </row>
    <row r="4527" spans="1:20" s="14" customFormat="1" x14ac:dyDescent="0.3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S4527" s="31"/>
      <c r="T4527" s="31"/>
    </row>
    <row r="4528" spans="1:20" s="14" customFormat="1" x14ac:dyDescent="0.3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S4528" s="31"/>
      <c r="T4528" s="31"/>
    </row>
    <row r="4529" spans="1:20" s="14" customFormat="1" x14ac:dyDescent="0.3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S4529" s="31"/>
      <c r="T4529" s="31"/>
    </row>
    <row r="4530" spans="1:20" s="14" customFormat="1" x14ac:dyDescent="0.3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S4530" s="31"/>
      <c r="T4530" s="31"/>
    </row>
    <row r="4531" spans="1:20" s="14" customFormat="1" x14ac:dyDescent="0.3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S4531" s="31"/>
      <c r="T4531" s="31"/>
    </row>
    <row r="4532" spans="1:20" s="14" customFormat="1" x14ac:dyDescent="0.3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S4532" s="31"/>
      <c r="T4532" s="31"/>
    </row>
    <row r="4533" spans="1:20" s="14" customFormat="1" x14ac:dyDescent="0.3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S4533" s="31"/>
      <c r="T4533" s="31"/>
    </row>
    <row r="4534" spans="1:20" s="14" customFormat="1" x14ac:dyDescent="0.3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S4534" s="31"/>
      <c r="T4534" s="31"/>
    </row>
    <row r="4535" spans="1:20" s="14" customFormat="1" x14ac:dyDescent="0.3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S4535" s="31"/>
      <c r="T4535" s="31"/>
    </row>
    <row r="4536" spans="1:20" s="14" customFormat="1" x14ac:dyDescent="0.3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S4536" s="31"/>
      <c r="T4536" s="31"/>
    </row>
    <row r="4537" spans="1:20" s="14" customFormat="1" x14ac:dyDescent="0.3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S4537" s="31"/>
      <c r="T4537" s="31"/>
    </row>
    <row r="4538" spans="1:20" s="14" customFormat="1" x14ac:dyDescent="0.3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S4538" s="31"/>
      <c r="T4538" s="31"/>
    </row>
    <row r="4539" spans="1:20" s="14" customFormat="1" x14ac:dyDescent="0.3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S4539" s="31"/>
      <c r="T4539" s="31"/>
    </row>
    <row r="4540" spans="1:20" s="14" customFormat="1" x14ac:dyDescent="0.3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S4540" s="31"/>
      <c r="T4540" s="31"/>
    </row>
    <row r="4541" spans="1:20" s="14" customFormat="1" x14ac:dyDescent="0.3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S4541" s="31"/>
      <c r="T4541" s="31"/>
    </row>
    <row r="4542" spans="1:20" s="14" customFormat="1" x14ac:dyDescent="0.3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S4542" s="31"/>
      <c r="T4542" s="31"/>
    </row>
    <row r="4543" spans="1:20" s="14" customFormat="1" x14ac:dyDescent="0.3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S4543" s="31"/>
      <c r="T4543" s="31"/>
    </row>
    <row r="4544" spans="1:20" s="14" customFormat="1" x14ac:dyDescent="0.3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S4544" s="31"/>
      <c r="T4544" s="31"/>
    </row>
    <row r="4545" spans="1:20" s="14" customFormat="1" x14ac:dyDescent="0.3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S4545" s="31"/>
      <c r="T4545" s="31"/>
    </row>
    <row r="4546" spans="1:20" s="14" customFormat="1" x14ac:dyDescent="0.3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S4546" s="31"/>
      <c r="T4546" s="31"/>
    </row>
    <row r="4547" spans="1:20" s="14" customFormat="1" x14ac:dyDescent="0.3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S4547" s="31"/>
      <c r="T4547" s="31"/>
    </row>
    <row r="4548" spans="1:20" s="14" customFormat="1" x14ac:dyDescent="0.3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S4548" s="31"/>
      <c r="T4548" s="31"/>
    </row>
    <row r="4549" spans="1:20" s="14" customFormat="1" x14ac:dyDescent="0.3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S4549" s="31"/>
      <c r="T4549" s="31"/>
    </row>
    <row r="4550" spans="1:20" s="14" customFormat="1" x14ac:dyDescent="0.3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S4550" s="31"/>
      <c r="T4550" s="31"/>
    </row>
    <row r="4551" spans="1:20" s="14" customFormat="1" x14ac:dyDescent="0.3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S4551" s="31"/>
      <c r="T4551" s="31"/>
    </row>
    <row r="4552" spans="1:20" s="14" customFormat="1" x14ac:dyDescent="0.3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S4552" s="31"/>
      <c r="T4552" s="31"/>
    </row>
    <row r="4553" spans="1:20" s="14" customFormat="1" x14ac:dyDescent="0.3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S4553" s="31"/>
      <c r="T4553" s="31"/>
    </row>
    <row r="4554" spans="1:20" s="14" customFormat="1" x14ac:dyDescent="0.3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S4554" s="31"/>
      <c r="T4554" s="31"/>
    </row>
    <row r="4555" spans="1:20" s="14" customFormat="1" x14ac:dyDescent="0.3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S4555" s="31"/>
      <c r="T4555" s="31"/>
    </row>
    <row r="4556" spans="1:20" s="14" customFormat="1" x14ac:dyDescent="0.3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S4556" s="31"/>
      <c r="T4556" s="31"/>
    </row>
    <row r="4557" spans="1:20" s="14" customFormat="1" x14ac:dyDescent="0.3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S4557" s="31"/>
      <c r="T4557" s="31"/>
    </row>
    <row r="4558" spans="1:20" s="14" customFormat="1" x14ac:dyDescent="0.3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S4558" s="31"/>
      <c r="T4558" s="31"/>
    </row>
    <row r="4559" spans="1:20" s="14" customFormat="1" x14ac:dyDescent="0.3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S4559" s="31"/>
      <c r="T4559" s="31"/>
    </row>
    <row r="4560" spans="1:20" s="14" customFormat="1" x14ac:dyDescent="0.3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S4560" s="31"/>
      <c r="T4560" s="31"/>
    </row>
    <row r="4561" spans="1:20" s="14" customFormat="1" x14ac:dyDescent="0.3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S4561" s="31"/>
      <c r="T4561" s="31"/>
    </row>
    <row r="4562" spans="1:20" s="14" customFormat="1" x14ac:dyDescent="0.3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S4562" s="31"/>
      <c r="T4562" s="31"/>
    </row>
    <row r="4563" spans="1:20" s="14" customFormat="1" x14ac:dyDescent="0.3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S4563" s="31"/>
      <c r="T4563" s="31"/>
    </row>
    <row r="4564" spans="1:20" s="14" customFormat="1" x14ac:dyDescent="0.3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S4564" s="31"/>
      <c r="T4564" s="31"/>
    </row>
    <row r="4565" spans="1:20" s="14" customFormat="1" x14ac:dyDescent="0.3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S4565" s="31"/>
      <c r="T4565" s="31"/>
    </row>
    <row r="4566" spans="1:20" s="14" customFormat="1" x14ac:dyDescent="0.3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S4566" s="31"/>
      <c r="T4566" s="31"/>
    </row>
    <row r="4567" spans="1:20" s="14" customFormat="1" x14ac:dyDescent="0.3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S4567" s="31"/>
      <c r="T4567" s="31"/>
    </row>
    <row r="4568" spans="1:20" s="14" customFormat="1" x14ac:dyDescent="0.3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S4568" s="31"/>
      <c r="T4568" s="31"/>
    </row>
    <row r="4569" spans="1:20" s="14" customFormat="1" x14ac:dyDescent="0.3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S4569" s="31"/>
      <c r="T4569" s="31"/>
    </row>
    <row r="4570" spans="1:20" s="14" customFormat="1" x14ac:dyDescent="0.3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S4570" s="31"/>
      <c r="T4570" s="31"/>
    </row>
    <row r="4571" spans="1:20" s="14" customFormat="1" x14ac:dyDescent="0.3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S4571" s="31"/>
      <c r="T4571" s="31"/>
    </row>
    <row r="4572" spans="1:20" s="14" customFormat="1" x14ac:dyDescent="0.3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S4572" s="31"/>
      <c r="T4572" s="31"/>
    </row>
    <row r="4573" spans="1:20" s="14" customFormat="1" x14ac:dyDescent="0.3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S4573" s="31"/>
      <c r="T4573" s="31"/>
    </row>
    <row r="4574" spans="1:20" s="14" customFormat="1" x14ac:dyDescent="0.3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S4574" s="31"/>
      <c r="T4574" s="31"/>
    </row>
    <row r="4575" spans="1:20" s="14" customFormat="1" x14ac:dyDescent="0.3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S4575" s="31"/>
      <c r="T4575" s="31"/>
    </row>
    <row r="4576" spans="1:20" s="14" customFormat="1" x14ac:dyDescent="0.3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S4576" s="31"/>
      <c r="T4576" s="31"/>
    </row>
    <row r="4577" spans="1:20" s="14" customFormat="1" x14ac:dyDescent="0.3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S4577" s="31"/>
      <c r="T4577" s="31"/>
    </row>
    <row r="4578" spans="1:20" s="14" customFormat="1" x14ac:dyDescent="0.3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S4578" s="31"/>
      <c r="T4578" s="31"/>
    </row>
    <row r="4579" spans="1:20" s="14" customFormat="1" x14ac:dyDescent="0.3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S4579" s="31"/>
      <c r="T4579" s="31"/>
    </row>
    <row r="4580" spans="1:20" s="14" customFormat="1" x14ac:dyDescent="0.3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S4580" s="31"/>
      <c r="T4580" s="31"/>
    </row>
    <row r="4581" spans="1:20" s="14" customFormat="1" x14ac:dyDescent="0.3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S4581" s="31"/>
      <c r="T4581" s="31"/>
    </row>
    <row r="4582" spans="1:20" s="14" customFormat="1" x14ac:dyDescent="0.3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S4582" s="31"/>
      <c r="T4582" s="31"/>
    </row>
    <row r="4583" spans="1:20" s="14" customFormat="1" x14ac:dyDescent="0.3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S4583" s="31"/>
      <c r="T4583" s="31"/>
    </row>
    <row r="4584" spans="1:20" s="14" customFormat="1" x14ac:dyDescent="0.3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S4584" s="31"/>
      <c r="T4584" s="31"/>
    </row>
    <row r="4585" spans="1:20" s="14" customFormat="1" x14ac:dyDescent="0.3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S4585" s="31"/>
      <c r="T4585" s="31"/>
    </row>
    <row r="4586" spans="1:20" s="14" customFormat="1" x14ac:dyDescent="0.3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S4586" s="31"/>
      <c r="T4586" s="31"/>
    </row>
    <row r="4587" spans="1:20" s="14" customFormat="1" x14ac:dyDescent="0.3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S4587" s="31"/>
      <c r="T4587" s="31"/>
    </row>
    <row r="4588" spans="1:20" s="14" customFormat="1" x14ac:dyDescent="0.3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S4588" s="31"/>
      <c r="T4588" s="31"/>
    </row>
    <row r="4589" spans="1:20" s="14" customFormat="1" x14ac:dyDescent="0.3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S4589" s="31"/>
      <c r="T4589" s="31"/>
    </row>
    <row r="4590" spans="1:20" s="14" customFormat="1" x14ac:dyDescent="0.3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S4590" s="31"/>
      <c r="T4590" s="31"/>
    </row>
    <row r="4591" spans="1:20" s="14" customFormat="1" x14ac:dyDescent="0.3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S4591" s="31"/>
      <c r="T4591" s="31"/>
    </row>
    <row r="4592" spans="1:20" s="14" customFormat="1" x14ac:dyDescent="0.3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S4592" s="31"/>
      <c r="T4592" s="31"/>
    </row>
    <row r="4593" spans="1:20" s="14" customFormat="1" x14ac:dyDescent="0.3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S4593" s="31"/>
      <c r="T4593" s="31"/>
    </row>
    <row r="4594" spans="1:20" s="14" customFormat="1" x14ac:dyDescent="0.3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S4594" s="31"/>
      <c r="T4594" s="31"/>
    </row>
    <row r="4595" spans="1:20" s="14" customFormat="1" x14ac:dyDescent="0.3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S4595" s="31"/>
      <c r="T4595" s="31"/>
    </row>
    <row r="4596" spans="1:20" s="14" customFormat="1" x14ac:dyDescent="0.3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S4596" s="31"/>
      <c r="T4596" s="31"/>
    </row>
    <row r="4597" spans="1:20" s="14" customFormat="1" x14ac:dyDescent="0.3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S4597" s="31"/>
      <c r="T4597" s="31"/>
    </row>
    <row r="4598" spans="1:20" s="14" customFormat="1" x14ac:dyDescent="0.3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S4598" s="31"/>
      <c r="T4598" s="31"/>
    </row>
    <row r="4599" spans="1:20" s="14" customFormat="1" x14ac:dyDescent="0.3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S4599" s="31"/>
      <c r="T4599" s="31"/>
    </row>
    <row r="4600" spans="1:20" s="14" customFormat="1" x14ac:dyDescent="0.3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S4600" s="31"/>
      <c r="T4600" s="31"/>
    </row>
    <row r="4601" spans="1:20" s="14" customFormat="1" x14ac:dyDescent="0.3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S4601" s="31"/>
      <c r="T4601" s="31"/>
    </row>
    <row r="4602" spans="1:20" s="14" customFormat="1" x14ac:dyDescent="0.3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S4602" s="31"/>
      <c r="T4602" s="31"/>
    </row>
    <row r="4603" spans="1:20" s="14" customFormat="1" x14ac:dyDescent="0.3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S4603" s="31"/>
      <c r="T4603" s="31"/>
    </row>
    <row r="4604" spans="1:20" s="14" customFormat="1" x14ac:dyDescent="0.3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S4604" s="31"/>
      <c r="T4604" s="31"/>
    </row>
    <row r="4605" spans="1:20" s="14" customFormat="1" x14ac:dyDescent="0.3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S4605" s="31"/>
      <c r="T4605" s="31"/>
    </row>
    <row r="4606" spans="1:20" s="14" customFormat="1" x14ac:dyDescent="0.3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S4606" s="31"/>
      <c r="T4606" s="31"/>
    </row>
    <row r="4607" spans="1:20" s="14" customFormat="1" x14ac:dyDescent="0.3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S4607" s="31"/>
      <c r="T4607" s="31"/>
    </row>
    <row r="4608" spans="1:20" s="14" customFormat="1" x14ac:dyDescent="0.3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S4608" s="31"/>
      <c r="T4608" s="31"/>
    </row>
    <row r="4609" spans="1:20" s="14" customFormat="1" x14ac:dyDescent="0.3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S4609" s="31"/>
      <c r="T4609" s="31"/>
    </row>
    <row r="4610" spans="1:20" s="14" customFormat="1" x14ac:dyDescent="0.3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S4610" s="31"/>
      <c r="T4610" s="31"/>
    </row>
    <row r="4611" spans="1:20" s="14" customFormat="1" x14ac:dyDescent="0.3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S4611" s="31"/>
      <c r="T4611" s="31"/>
    </row>
    <row r="4612" spans="1:20" s="14" customFormat="1" x14ac:dyDescent="0.3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S4612" s="31"/>
      <c r="T4612" s="31"/>
    </row>
    <row r="4613" spans="1:20" s="14" customFormat="1" x14ac:dyDescent="0.3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S4613" s="31"/>
      <c r="T4613" s="31"/>
    </row>
    <row r="4614" spans="1:20" s="14" customFormat="1" x14ac:dyDescent="0.3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S4614" s="31"/>
      <c r="T4614" s="31"/>
    </row>
    <row r="4615" spans="1:20" s="14" customFormat="1" x14ac:dyDescent="0.3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S4615" s="31"/>
      <c r="T4615" s="31"/>
    </row>
    <row r="4616" spans="1:20" s="14" customFormat="1" x14ac:dyDescent="0.3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S4616" s="31"/>
      <c r="T4616" s="31"/>
    </row>
    <row r="4617" spans="1:20" s="14" customFormat="1" x14ac:dyDescent="0.3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S4617" s="31"/>
      <c r="T4617" s="31"/>
    </row>
    <row r="4618" spans="1:20" s="14" customFormat="1" x14ac:dyDescent="0.3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S4618" s="31"/>
      <c r="T4618" s="31"/>
    </row>
    <row r="4619" spans="1:20" s="14" customFormat="1" x14ac:dyDescent="0.3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S4619" s="31"/>
      <c r="T4619" s="31"/>
    </row>
    <row r="4620" spans="1:20" s="14" customFormat="1" x14ac:dyDescent="0.3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S4620" s="31"/>
      <c r="T4620" s="31"/>
    </row>
    <row r="4621" spans="1:20" s="14" customFormat="1" x14ac:dyDescent="0.3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S4621" s="31"/>
      <c r="T4621" s="31"/>
    </row>
    <row r="4622" spans="1:20" s="14" customFormat="1" x14ac:dyDescent="0.3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S4622" s="31"/>
      <c r="T4622" s="31"/>
    </row>
    <row r="4623" spans="1:20" s="14" customFormat="1" x14ac:dyDescent="0.3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S4623" s="31"/>
      <c r="T4623" s="31"/>
    </row>
    <row r="4624" spans="1:20" s="14" customFormat="1" x14ac:dyDescent="0.3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S4624" s="31"/>
      <c r="T4624" s="31"/>
    </row>
    <row r="4625" spans="1:20" s="14" customFormat="1" x14ac:dyDescent="0.3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S4625" s="31"/>
      <c r="T4625" s="31"/>
    </row>
    <row r="4626" spans="1:20" s="14" customFormat="1" x14ac:dyDescent="0.3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S4626" s="31"/>
      <c r="T4626" s="31"/>
    </row>
    <row r="4627" spans="1:20" s="14" customFormat="1" x14ac:dyDescent="0.3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S4627" s="31"/>
      <c r="T4627" s="31"/>
    </row>
    <row r="4628" spans="1:20" s="14" customFormat="1" x14ac:dyDescent="0.3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S4628" s="31"/>
      <c r="T4628" s="31"/>
    </row>
    <row r="4629" spans="1:20" s="14" customFormat="1" x14ac:dyDescent="0.3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S4629" s="31"/>
      <c r="T4629" s="31"/>
    </row>
    <row r="4630" spans="1:20" s="14" customFormat="1" x14ac:dyDescent="0.3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S4630" s="31"/>
      <c r="T4630" s="31"/>
    </row>
    <row r="4631" spans="1:20" s="14" customFormat="1" x14ac:dyDescent="0.3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S4631" s="31"/>
      <c r="T4631" s="31"/>
    </row>
    <row r="4632" spans="1:20" s="14" customFormat="1" x14ac:dyDescent="0.3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S4632" s="31"/>
      <c r="T4632" s="31"/>
    </row>
    <row r="4633" spans="1:20" s="14" customFormat="1" x14ac:dyDescent="0.3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S4633" s="31"/>
      <c r="T4633" s="31"/>
    </row>
    <row r="4634" spans="1:20" s="14" customFormat="1" x14ac:dyDescent="0.3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S4634" s="31"/>
      <c r="T4634" s="31"/>
    </row>
    <row r="4635" spans="1:20" s="14" customFormat="1" x14ac:dyDescent="0.3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S4635" s="31"/>
      <c r="T4635" s="31"/>
    </row>
    <row r="4636" spans="1:20" s="14" customFormat="1" x14ac:dyDescent="0.3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S4636" s="31"/>
      <c r="T4636" s="31"/>
    </row>
    <row r="4637" spans="1:20" s="14" customFormat="1" x14ac:dyDescent="0.3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S4637" s="31"/>
      <c r="T4637" s="31"/>
    </row>
    <row r="4638" spans="1:20" s="14" customFormat="1" x14ac:dyDescent="0.3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S4638" s="31"/>
      <c r="T4638" s="31"/>
    </row>
    <row r="4639" spans="1:20" s="14" customFormat="1" x14ac:dyDescent="0.3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S4639" s="31"/>
      <c r="T4639" s="31"/>
    </row>
    <row r="4640" spans="1:20" s="14" customFormat="1" x14ac:dyDescent="0.3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S4640" s="31"/>
      <c r="T4640" s="31"/>
    </row>
    <row r="4641" spans="1:20" s="14" customFormat="1" x14ac:dyDescent="0.3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S4641" s="31"/>
      <c r="T4641" s="31"/>
    </row>
    <row r="4642" spans="1:20" s="14" customFormat="1" x14ac:dyDescent="0.3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S4642" s="31"/>
      <c r="T4642" s="31"/>
    </row>
    <row r="4643" spans="1:20" s="14" customFormat="1" x14ac:dyDescent="0.3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S4643" s="31"/>
      <c r="T4643" s="31"/>
    </row>
    <row r="4644" spans="1:20" s="14" customFormat="1" x14ac:dyDescent="0.3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S4644" s="31"/>
      <c r="T4644" s="31"/>
    </row>
    <row r="4645" spans="1:20" s="14" customFormat="1" x14ac:dyDescent="0.3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S4645" s="31"/>
      <c r="T4645" s="31"/>
    </row>
    <row r="4646" spans="1:20" s="14" customFormat="1" x14ac:dyDescent="0.3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S4646" s="31"/>
      <c r="T4646" s="31"/>
    </row>
    <row r="4647" spans="1:20" s="14" customFormat="1" x14ac:dyDescent="0.3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S4647" s="31"/>
      <c r="T4647" s="31"/>
    </row>
    <row r="4648" spans="1:20" s="14" customFormat="1" x14ac:dyDescent="0.3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S4648" s="31"/>
      <c r="T4648" s="31"/>
    </row>
    <row r="4649" spans="1:20" s="14" customFormat="1" x14ac:dyDescent="0.3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S4649" s="31"/>
      <c r="T4649" s="31"/>
    </row>
    <row r="4650" spans="1:20" s="14" customFormat="1" x14ac:dyDescent="0.3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S4650" s="31"/>
      <c r="T4650" s="31"/>
    </row>
    <row r="4651" spans="1:20" s="14" customFormat="1" x14ac:dyDescent="0.3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S4651" s="31"/>
      <c r="T4651" s="31"/>
    </row>
    <row r="4652" spans="1:20" s="14" customFormat="1" x14ac:dyDescent="0.3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S4652" s="31"/>
      <c r="T4652" s="31"/>
    </row>
    <row r="4653" spans="1:20" s="14" customFormat="1" x14ac:dyDescent="0.3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S4653" s="31"/>
      <c r="T4653" s="31"/>
    </row>
    <row r="4654" spans="1:20" s="14" customFormat="1" x14ac:dyDescent="0.3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S4654" s="31"/>
      <c r="T4654" s="31"/>
    </row>
    <row r="4655" spans="1:20" s="14" customFormat="1" x14ac:dyDescent="0.3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S4655" s="31"/>
      <c r="T4655" s="31"/>
    </row>
    <row r="4656" spans="1:20" s="14" customFormat="1" x14ac:dyDescent="0.3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S4656" s="31"/>
      <c r="T4656" s="31"/>
    </row>
    <row r="4657" spans="1:20" s="14" customFormat="1" x14ac:dyDescent="0.3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S4657" s="31"/>
      <c r="T4657" s="31"/>
    </row>
    <row r="4658" spans="1:20" s="14" customFormat="1" x14ac:dyDescent="0.3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S4658" s="31"/>
      <c r="T4658" s="31"/>
    </row>
    <row r="4659" spans="1:20" s="14" customFormat="1" x14ac:dyDescent="0.3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S4659" s="31"/>
      <c r="T4659" s="31"/>
    </row>
    <row r="4660" spans="1:20" s="14" customFormat="1" x14ac:dyDescent="0.3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S4660" s="31"/>
      <c r="T4660" s="31"/>
    </row>
    <row r="4661" spans="1:20" s="14" customFormat="1" x14ac:dyDescent="0.3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S4661" s="31"/>
      <c r="T4661" s="31"/>
    </row>
    <row r="4662" spans="1:20" s="14" customFormat="1" x14ac:dyDescent="0.3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S4662" s="31"/>
      <c r="T4662" s="31"/>
    </row>
    <row r="4663" spans="1:20" s="14" customFormat="1" x14ac:dyDescent="0.3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S4663" s="31"/>
      <c r="T4663" s="31"/>
    </row>
    <row r="4664" spans="1:20" s="14" customFormat="1" x14ac:dyDescent="0.3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S4664" s="31"/>
      <c r="T4664" s="31"/>
    </row>
    <row r="4665" spans="1:20" s="14" customFormat="1" x14ac:dyDescent="0.3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S4665" s="31"/>
      <c r="T4665" s="31"/>
    </row>
    <row r="4666" spans="1:20" s="14" customFormat="1" x14ac:dyDescent="0.3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S4666" s="31"/>
      <c r="T4666" s="31"/>
    </row>
    <row r="4667" spans="1:20" s="14" customFormat="1" x14ac:dyDescent="0.3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S4667" s="31"/>
      <c r="T4667" s="31"/>
    </row>
    <row r="4668" spans="1:20" s="14" customFormat="1" x14ac:dyDescent="0.3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S4668" s="31"/>
      <c r="T4668" s="31"/>
    </row>
    <row r="4669" spans="1:20" s="14" customFormat="1" x14ac:dyDescent="0.3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S4669" s="31"/>
      <c r="T4669" s="31"/>
    </row>
    <row r="4670" spans="1:20" s="14" customFormat="1" x14ac:dyDescent="0.3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S4670" s="31"/>
      <c r="T4670" s="31"/>
    </row>
    <row r="4671" spans="1:20" s="14" customFormat="1" x14ac:dyDescent="0.3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S4671" s="31"/>
      <c r="T4671" s="31"/>
    </row>
    <row r="4672" spans="1:20" s="14" customFormat="1" x14ac:dyDescent="0.3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S4672" s="31"/>
      <c r="T4672" s="31"/>
    </row>
    <row r="4673" spans="1:20" s="14" customFormat="1" x14ac:dyDescent="0.3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S4673" s="31"/>
      <c r="T4673" s="31"/>
    </row>
    <row r="4674" spans="1:20" s="14" customFormat="1" x14ac:dyDescent="0.3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S4674" s="31"/>
      <c r="T4674" s="31"/>
    </row>
    <row r="4675" spans="1:20" s="14" customFormat="1" x14ac:dyDescent="0.3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S4675" s="31"/>
      <c r="T4675" s="31"/>
    </row>
    <row r="4676" spans="1:20" s="14" customFormat="1" x14ac:dyDescent="0.3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S4676" s="31"/>
      <c r="T4676" s="31"/>
    </row>
    <row r="4677" spans="1:20" s="14" customFormat="1" x14ac:dyDescent="0.3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S4677" s="31"/>
      <c r="T4677" s="31"/>
    </row>
    <row r="4678" spans="1:20" s="14" customFormat="1" x14ac:dyDescent="0.3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S4678" s="31"/>
      <c r="T4678" s="31"/>
    </row>
    <row r="4679" spans="1:20" s="14" customFormat="1" x14ac:dyDescent="0.3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S4679" s="31"/>
      <c r="T4679" s="31"/>
    </row>
    <row r="4680" spans="1:20" s="14" customFormat="1" x14ac:dyDescent="0.3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S4680" s="31"/>
      <c r="T4680" s="31"/>
    </row>
    <row r="4681" spans="1:20" s="14" customFormat="1" x14ac:dyDescent="0.3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S4681" s="31"/>
      <c r="T4681" s="31"/>
    </row>
    <row r="4682" spans="1:20" s="14" customFormat="1" x14ac:dyDescent="0.3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S4682" s="31"/>
      <c r="T4682" s="31"/>
    </row>
    <row r="4683" spans="1:20" s="14" customFormat="1" x14ac:dyDescent="0.3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S4683" s="31"/>
      <c r="T4683" s="31"/>
    </row>
    <row r="4684" spans="1:20" s="14" customFormat="1" x14ac:dyDescent="0.3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S4684" s="31"/>
      <c r="T4684" s="31"/>
    </row>
    <row r="4685" spans="1:20" s="14" customFormat="1" x14ac:dyDescent="0.3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S4685" s="31"/>
      <c r="T4685" s="31"/>
    </row>
    <row r="4686" spans="1:20" s="14" customFormat="1" x14ac:dyDescent="0.3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S4686" s="31"/>
      <c r="T4686" s="31"/>
    </row>
    <row r="4687" spans="1:20" s="14" customFormat="1" x14ac:dyDescent="0.3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S4687" s="31"/>
      <c r="T4687" s="31"/>
    </row>
    <row r="4688" spans="1:20" s="14" customFormat="1" x14ac:dyDescent="0.3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S4688" s="31"/>
      <c r="T4688" s="31"/>
    </row>
    <row r="4689" spans="1:20" s="14" customFormat="1" x14ac:dyDescent="0.3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S4689" s="31"/>
      <c r="T4689" s="31"/>
    </row>
    <row r="4690" spans="1:20" s="14" customFormat="1" x14ac:dyDescent="0.3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S4690" s="31"/>
      <c r="T4690" s="31"/>
    </row>
    <row r="4691" spans="1:20" s="14" customFormat="1" x14ac:dyDescent="0.3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S4691" s="31"/>
      <c r="T4691" s="31"/>
    </row>
    <row r="4692" spans="1:20" s="14" customFormat="1" x14ac:dyDescent="0.3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S4692" s="31"/>
      <c r="T4692" s="31"/>
    </row>
    <row r="4693" spans="1:20" s="14" customFormat="1" x14ac:dyDescent="0.3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S4693" s="31"/>
      <c r="T4693" s="31"/>
    </row>
    <row r="4694" spans="1:20" s="14" customFormat="1" x14ac:dyDescent="0.3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S4694" s="31"/>
      <c r="T4694" s="31"/>
    </row>
    <row r="4695" spans="1:20" s="14" customFormat="1" x14ac:dyDescent="0.3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S4695" s="31"/>
      <c r="T4695" s="31"/>
    </row>
    <row r="4696" spans="1:20" s="14" customFormat="1" x14ac:dyDescent="0.3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S4696" s="31"/>
      <c r="T4696" s="31"/>
    </row>
    <row r="4697" spans="1:20" s="14" customFormat="1" x14ac:dyDescent="0.3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S4697" s="31"/>
      <c r="T4697" s="31"/>
    </row>
    <row r="4698" spans="1:20" s="14" customFormat="1" x14ac:dyDescent="0.3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S4698" s="31"/>
      <c r="T4698" s="31"/>
    </row>
    <row r="4699" spans="1:20" s="14" customFormat="1" x14ac:dyDescent="0.3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S4699" s="31"/>
      <c r="T4699" s="31"/>
    </row>
    <row r="4700" spans="1:20" s="14" customFormat="1" x14ac:dyDescent="0.3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S4700" s="31"/>
      <c r="T4700" s="31"/>
    </row>
    <row r="4701" spans="1:20" s="14" customFormat="1" x14ac:dyDescent="0.3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S4701" s="31"/>
      <c r="T4701" s="31"/>
    </row>
    <row r="4702" spans="1:20" s="14" customFormat="1" x14ac:dyDescent="0.3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S4702" s="31"/>
      <c r="T4702" s="31"/>
    </row>
    <row r="4703" spans="1:20" s="14" customFormat="1" x14ac:dyDescent="0.3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S4703" s="31"/>
      <c r="T4703" s="31"/>
    </row>
    <row r="4704" spans="1:20" s="14" customFormat="1" x14ac:dyDescent="0.3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S4704" s="31"/>
      <c r="T4704" s="31"/>
    </row>
    <row r="4705" spans="1:20" s="14" customFormat="1" x14ac:dyDescent="0.3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S4705" s="31"/>
      <c r="T4705" s="31"/>
    </row>
    <row r="4706" spans="1:20" s="14" customFormat="1" x14ac:dyDescent="0.3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S4706" s="31"/>
      <c r="T4706" s="31"/>
    </row>
    <row r="4707" spans="1:20" s="14" customFormat="1" x14ac:dyDescent="0.3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S4707" s="31"/>
      <c r="T4707" s="31"/>
    </row>
    <row r="4708" spans="1:20" s="14" customFormat="1" x14ac:dyDescent="0.3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S4708" s="31"/>
      <c r="T4708" s="31"/>
    </row>
    <row r="4709" spans="1:20" s="14" customFormat="1" x14ac:dyDescent="0.3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S4709" s="31"/>
      <c r="T4709" s="31"/>
    </row>
    <row r="4710" spans="1:20" s="14" customFormat="1" x14ac:dyDescent="0.3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S4710" s="31"/>
      <c r="T4710" s="31"/>
    </row>
    <row r="4711" spans="1:20" s="14" customFormat="1" x14ac:dyDescent="0.3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S4711" s="31"/>
      <c r="T4711" s="31"/>
    </row>
    <row r="4712" spans="1:20" s="14" customFormat="1" x14ac:dyDescent="0.3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S4712" s="31"/>
      <c r="T4712" s="31"/>
    </row>
    <row r="4713" spans="1:20" s="14" customFormat="1" x14ac:dyDescent="0.3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S4713" s="31"/>
      <c r="T4713" s="31"/>
    </row>
    <row r="4714" spans="1:20" s="14" customFormat="1" x14ac:dyDescent="0.3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S4714" s="31"/>
      <c r="T4714" s="31"/>
    </row>
    <row r="4715" spans="1:20" s="14" customFormat="1" x14ac:dyDescent="0.3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S4715" s="31"/>
      <c r="T4715" s="31"/>
    </row>
    <row r="4716" spans="1:20" s="14" customFormat="1" x14ac:dyDescent="0.3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S4716" s="31"/>
      <c r="T4716" s="31"/>
    </row>
    <row r="4717" spans="1:20" s="14" customFormat="1" x14ac:dyDescent="0.3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S4717" s="31"/>
      <c r="T4717" s="31"/>
    </row>
    <row r="4718" spans="1:20" s="14" customFormat="1" x14ac:dyDescent="0.3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S4718" s="31"/>
      <c r="T4718" s="31"/>
    </row>
    <row r="4719" spans="1:20" s="14" customFormat="1" x14ac:dyDescent="0.3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S4719" s="31"/>
      <c r="T4719" s="31"/>
    </row>
    <row r="4720" spans="1:20" s="14" customFormat="1" x14ac:dyDescent="0.3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S4720" s="31"/>
      <c r="T4720" s="31"/>
    </row>
    <row r="4721" spans="1:20" s="14" customFormat="1" x14ac:dyDescent="0.3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S4721" s="31"/>
      <c r="T4721" s="31"/>
    </row>
    <row r="4722" spans="1:20" s="14" customFormat="1" x14ac:dyDescent="0.3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S4722" s="31"/>
      <c r="T4722" s="31"/>
    </row>
    <row r="4723" spans="1:20" s="14" customFormat="1" x14ac:dyDescent="0.3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S4723" s="31"/>
      <c r="T4723" s="31"/>
    </row>
    <row r="4724" spans="1:20" s="14" customFormat="1" x14ac:dyDescent="0.3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S4724" s="31"/>
      <c r="T4724" s="31"/>
    </row>
    <row r="4725" spans="1:20" s="14" customFormat="1" x14ac:dyDescent="0.3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S4725" s="31"/>
      <c r="T4725" s="31"/>
    </row>
    <row r="4726" spans="1:20" s="14" customFormat="1" x14ac:dyDescent="0.3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S4726" s="31"/>
      <c r="T4726" s="31"/>
    </row>
    <row r="4727" spans="1:20" s="14" customFormat="1" x14ac:dyDescent="0.3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S4727" s="31"/>
      <c r="T4727" s="31"/>
    </row>
    <row r="4728" spans="1:20" s="14" customFormat="1" x14ac:dyDescent="0.3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S4728" s="31"/>
      <c r="T4728" s="31"/>
    </row>
    <row r="4729" spans="1:20" s="14" customFormat="1" x14ac:dyDescent="0.3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S4729" s="31"/>
      <c r="T4729" s="31"/>
    </row>
    <row r="4730" spans="1:20" s="14" customFormat="1" x14ac:dyDescent="0.3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S4730" s="31"/>
      <c r="T4730" s="31"/>
    </row>
    <row r="4731" spans="1:20" s="14" customFormat="1" x14ac:dyDescent="0.3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S4731" s="31"/>
      <c r="T4731" s="31"/>
    </row>
    <row r="4732" spans="1:20" s="14" customFormat="1" x14ac:dyDescent="0.3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S4732" s="31"/>
      <c r="T4732" s="31"/>
    </row>
    <row r="4733" spans="1:20" s="14" customFormat="1" x14ac:dyDescent="0.3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S4733" s="31"/>
      <c r="T4733" s="31"/>
    </row>
    <row r="4734" spans="1:20" s="14" customFormat="1" x14ac:dyDescent="0.3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S4734" s="31"/>
      <c r="T4734" s="31"/>
    </row>
    <row r="4735" spans="1:20" s="14" customFormat="1" x14ac:dyDescent="0.3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S4735" s="31"/>
      <c r="T4735" s="31"/>
    </row>
    <row r="4736" spans="1:20" s="14" customFormat="1" x14ac:dyDescent="0.3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S4736" s="31"/>
      <c r="T4736" s="31"/>
    </row>
    <row r="4737" spans="1:20" s="14" customFormat="1" x14ac:dyDescent="0.3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S4737" s="31"/>
      <c r="T4737" s="31"/>
    </row>
    <row r="4738" spans="1:20" s="14" customFormat="1" x14ac:dyDescent="0.3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S4738" s="31"/>
      <c r="T4738" s="31"/>
    </row>
    <row r="4739" spans="1:20" s="14" customFormat="1" x14ac:dyDescent="0.3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S4739" s="31"/>
      <c r="T4739" s="31"/>
    </row>
    <row r="4740" spans="1:20" s="14" customFormat="1" x14ac:dyDescent="0.3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S4740" s="31"/>
      <c r="T4740" s="31"/>
    </row>
    <row r="4741" spans="1:20" s="14" customFormat="1" x14ac:dyDescent="0.3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S4741" s="31"/>
      <c r="T4741" s="31"/>
    </row>
    <row r="4742" spans="1:20" s="14" customFormat="1" x14ac:dyDescent="0.3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S4742" s="31"/>
      <c r="T4742" s="31"/>
    </row>
    <row r="4743" spans="1:20" s="14" customFormat="1" x14ac:dyDescent="0.3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S4743" s="31"/>
      <c r="T4743" s="31"/>
    </row>
    <row r="4744" spans="1:20" s="14" customFormat="1" x14ac:dyDescent="0.3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S4744" s="31"/>
      <c r="T4744" s="31"/>
    </row>
    <row r="4745" spans="1:20" s="14" customFormat="1" x14ac:dyDescent="0.3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S4745" s="31"/>
      <c r="T4745" s="31"/>
    </row>
    <row r="4746" spans="1:20" s="14" customFormat="1" x14ac:dyDescent="0.3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S4746" s="31"/>
      <c r="T4746" s="31"/>
    </row>
    <row r="4747" spans="1:20" s="14" customFormat="1" x14ac:dyDescent="0.3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S4747" s="31"/>
      <c r="T4747" s="31"/>
    </row>
    <row r="4748" spans="1:20" s="14" customFormat="1" x14ac:dyDescent="0.3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S4748" s="31"/>
      <c r="T4748" s="31"/>
    </row>
    <row r="4749" spans="1:20" s="14" customFormat="1" x14ac:dyDescent="0.3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S4749" s="31"/>
      <c r="T4749" s="31"/>
    </row>
    <row r="4750" spans="1:20" s="14" customFormat="1" x14ac:dyDescent="0.3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S4750" s="31"/>
      <c r="T4750" s="31"/>
    </row>
    <row r="4751" spans="1:20" s="14" customFormat="1" x14ac:dyDescent="0.3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S4751" s="31"/>
      <c r="T4751" s="31"/>
    </row>
    <row r="4752" spans="1:20" s="14" customFormat="1" x14ac:dyDescent="0.3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S4752" s="31"/>
      <c r="T4752" s="31"/>
    </row>
    <row r="4753" spans="1:20" s="14" customFormat="1" x14ac:dyDescent="0.3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S4753" s="31"/>
      <c r="T4753" s="31"/>
    </row>
    <row r="4754" spans="1:20" s="14" customFormat="1" x14ac:dyDescent="0.3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S4754" s="31"/>
      <c r="T4754" s="31"/>
    </row>
    <row r="4755" spans="1:20" s="14" customFormat="1" x14ac:dyDescent="0.3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S4755" s="31"/>
      <c r="T4755" s="31"/>
    </row>
    <row r="4756" spans="1:20" s="14" customFormat="1" x14ac:dyDescent="0.3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S4756" s="31"/>
      <c r="T4756" s="31"/>
    </row>
    <row r="4757" spans="1:20" s="14" customFormat="1" x14ac:dyDescent="0.3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S4757" s="31"/>
      <c r="T4757" s="31"/>
    </row>
    <row r="4758" spans="1:20" s="14" customFormat="1" x14ac:dyDescent="0.3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S4758" s="31"/>
      <c r="T4758" s="31"/>
    </row>
    <row r="4759" spans="1:20" s="14" customFormat="1" x14ac:dyDescent="0.3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S4759" s="31"/>
      <c r="T4759" s="31"/>
    </row>
    <row r="4760" spans="1:20" s="14" customFormat="1" x14ac:dyDescent="0.3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S4760" s="31"/>
      <c r="T4760" s="31"/>
    </row>
    <row r="4761" spans="1:20" s="14" customFormat="1" x14ac:dyDescent="0.3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S4761" s="31"/>
      <c r="T4761" s="31"/>
    </row>
    <row r="4762" spans="1:20" s="14" customFormat="1" x14ac:dyDescent="0.3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S4762" s="31"/>
      <c r="T4762" s="31"/>
    </row>
    <row r="4763" spans="1:20" s="14" customFormat="1" x14ac:dyDescent="0.3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S4763" s="31"/>
      <c r="T4763" s="31"/>
    </row>
    <row r="4764" spans="1:20" s="14" customFormat="1" x14ac:dyDescent="0.3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S4764" s="31"/>
      <c r="T4764" s="31"/>
    </row>
    <row r="4765" spans="1:20" s="14" customFormat="1" x14ac:dyDescent="0.3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S4765" s="31"/>
      <c r="T4765" s="31"/>
    </row>
    <row r="4766" spans="1:20" s="14" customFormat="1" x14ac:dyDescent="0.3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S4766" s="31"/>
      <c r="T4766" s="31"/>
    </row>
    <row r="4767" spans="1:20" s="14" customFormat="1" x14ac:dyDescent="0.3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S4767" s="31"/>
      <c r="T4767" s="31"/>
    </row>
    <row r="4768" spans="1:20" s="14" customFormat="1" x14ac:dyDescent="0.3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S4768" s="31"/>
      <c r="T4768" s="31"/>
    </row>
    <row r="4769" spans="1:20" s="14" customFormat="1" x14ac:dyDescent="0.3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S4769" s="31"/>
      <c r="T4769" s="31"/>
    </row>
    <row r="4770" spans="1:20" s="14" customFormat="1" x14ac:dyDescent="0.3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S4770" s="31"/>
      <c r="T4770" s="31"/>
    </row>
    <row r="4771" spans="1:20" s="14" customFormat="1" x14ac:dyDescent="0.3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S4771" s="31"/>
      <c r="T4771" s="31"/>
    </row>
    <row r="4772" spans="1:20" s="14" customFormat="1" x14ac:dyDescent="0.3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S4772" s="31"/>
      <c r="T4772" s="31"/>
    </row>
    <row r="4773" spans="1:20" s="14" customFormat="1" x14ac:dyDescent="0.3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S4773" s="31"/>
      <c r="T4773" s="31"/>
    </row>
    <row r="4774" spans="1:20" s="14" customFormat="1" x14ac:dyDescent="0.3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S4774" s="31"/>
      <c r="T4774" s="31"/>
    </row>
    <row r="4775" spans="1:20" s="14" customFormat="1" x14ac:dyDescent="0.3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S4775" s="31"/>
      <c r="T4775" s="31"/>
    </row>
    <row r="4776" spans="1:20" s="14" customFormat="1" x14ac:dyDescent="0.3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S4776" s="31"/>
      <c r="T4776" s="31"/>
    </row>
    <row r="4777" spans="1:20" s="14" customFormat="1" x14ac:dyDescent="0.3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S4777" s="31"/>
      <c r="T4777" s="31"/>
    </row>
    <row r="4778" spans="1:20" s="14" customFormat="1" x14ac:dyDescent="0.3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S4778" s="31"/>
      <c r="T4778" s="31"/>
    </row>
    <row r="4779" spans="1:20" s="14" customFormat="1" x14ac:dyDescent="0.3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S4779" s="31"/>
      <c r="T4779" s="31"/>
    </row>
    <row r="4780" spans="1:20" s="14" customFormat="1" x14ac:dyDescent="0.3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S4780" s="31"/>
      <c r="T4780" s="31"/>
    </row>
    <row r="4781" spans="1:20" s="14" customFormat="1" x14ac:dyDescent="0.3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S4781" s="31"/>
      <c r="T4781" s="31"/>
    </row>
    <row r="4782" spans="1:20" s="14" customFormat="1" x14ac:dyDescent="0.3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S4782" s="31"/>
      <c r="T4782" s="31"/>
    </row>
    <row r="4783" spans="1:20" s="14" customFormat="1" x14ac:dyDescent="0.3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S4783" s="31"/>
      <c r="T4783" s="31"/>
    </row>
    <row r="4784" spans="1:20" s="14" customFormat="1" x14ac:dyDescent="0.3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S4784" s="31"/>
      <c r="T4784" s="31"/>
    </row>
    <row r="4785" spans="1:20" s="14" customFormat="1" x14ac:dyDescent="0.3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S4785" s="31"/>
      <c r="T4785" s="31"/>
    </row>
    <row r="4786" spans="1:20" s="14" customFormat="1" x14ac:dyDescent="0.3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S4786" s="31"/>
      <c r="T4786" s="31"/>
    </row>
    <row r="4787" spans="1:20" s="14" customFormat="1" x14ac:dyDescent="0.3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S4787" s="31"/>
      <c r="T4787" s="31"/>
    </row>
    <row r="4788" spans="1:20" s="14" customFormat="1" x14ac:dyDescent="0.3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S4788" s="31"/>
      <c r="T4788" s="31"/>
    </row>
    <row r="4789" spans="1:20" s="14" customFormat="1" x14ac:dyDescent="0.3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S4789" s="31"/>
      <c r="T4789" s="31"/>
    </row>
    <row r="4790" spans="1:20" s="14" customFormat="1" x14ac:dyDescent="0.3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S4790" s="31"/>
      <c r="T4790" s="31"/>
    </row>
    <row r="4791" spans="1:20" s="14" customFormat="1" x14ac:dyDescent="0.3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S4791" s="31"/>
      <c r="T4791" s="31"/>
    </row>
    <row r="4792" spans="1:20" s="14" customFormat="1" x14ac:dyDescent="0.3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S4792" s="31"/>
      <c r="T4792" s="31"/>
    </row>
    <row r="4793" spans="1:20" s="14" customFormat="1" x14ac:dyDescent="0.3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S4793" s="31"/>
      <c r="T4793" s="31"/>
    </row>
    <row r="4794" spans="1:20" s="14" customFormat="1" x14ac:dyDescent="0.3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S4794" s="31"/>
      <c r="T4794" s="31"/>
    </row>
    <row r="4795" spans="1:20" s="14" customFormat="1" x14ac:dyDescent="0.3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S4795" s="31"/>
      <c r="T4795" s="31"/>
    </row>
    <row r="4796" spans="1:20" s="14" customFormat="1" x14ac:dyDescent="0.3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S4796" s="31"/>
      <c r="T4796" s="31"/>
    </row>
    <row r="4797" spans="1:20" s="14" customFormat="1" x14ac:dyDescent="0.3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S4797" s="31"/>
      <c r="T4797" s="31"/>
    </row>
    <row r="4798" spans="1:20" s="14" customFormat="1" x14ac:dyDescent="0.3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S4798" s="31"/>
      <c r="T4798" s="31"/>
    </row>
    <row r="4799" spans="1:20" s="14" customFormat="1" x14ac:dyDescent="0.3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S4799" s="31"/>
      <c r="T4799" s="31"/>
    </row>
    <row r="4800" spans="1:20" s="14" customFormat="1" x14ac:dyDescent="0.3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S4800" s="31"/>
      <c r="T4800" s="31"/>
    </row>
    <row r="4801" spans="1:20" s="14" customFormat="1" x14ac:dyDescent="0.3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S4801" s="31"/>
      <c r="T4801" s="31"/>
    </row>
    <row r="4802" spans="1:20" s="14" customFormat="1" x14ac:dyDescent="0.3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S4802" s="31"/>
      <c r="T4802" s="31"/>
    </row>
    <row r="4803" spans="1:20" s="14" customFormat="1" x14ac:dyDescent="0.3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S4803" s="31"/>
      <c r="T4803" s="31"/>
    </row>
    <row r="4804" spans="1:20" s="14" customFormat="1" x14ac:dyDescent="0.3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S4804" s="31"/>
      <c r="T4804" s="31"/>
    </row>
    <row r="4805" spans="1:20" s="14" customFormat="1" x14ac:dyDescent="0.3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S4805" s="31"/>
      <c r="T4805" s="31"/>
    </row>
    <row r="4806" spans="1:20" s="14" customFormat="1" x14ac:dyDescent="0.3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S4806" s="31"/>
      <c r="T4806" s="31"/>
    </row>
    <row r="4807" spans="1:20" s="14" customFormat="1" x14ac:dyDescent="0.3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S4807" s="31"/>
      <c r="T4807" s="31"/>
    </row>
    <row r="4808" spans="1:20" s="14" customFormat="1" x14ac:dyDescent="0.3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S4808" s="31"/>
      <c r="T4808" s="31"/>
    </row>
    <row r="4809" spans="1:20" s="14" customFormat="1" x14ac:dyDescent="0.3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S4809" s="31"/>
      <c r="T4809" s="31"/>
    </row>
    <row r="4810" spans="1:20" s="14" customFormat="1" x14ac:dyDescent="0.3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S4810" s="31"/>
      <c r="T4810" s="31"/>
    </row>
    <row r="4811" spans="1:20" s="14" customFormat="1" x14ac:dyDescent="0.3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S4811" s="31"/>
      <c r="T4811" s="31"/>
    </row>
    <row r="4812" spans="1:20" s="14" customFormat="1" x14ac:dyDescent="0.3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S4812" s="31"/>
      <c r="T4812" s="31"/>
    </row>
    <row r="4813" spans="1:20" s="14" customFormat="1" x14ac:dyDescent="0.3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S4813" s="31"/>
      <c r="T4813" s="31"/>
    </row>
    <row r="4814" spans="1:20" s="14" customFormat="1" x14ac:dyDescent="0.3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S4814" s="31"/>
      <c r="T4814" s="31"/>
    </row>
    <row r="4815" spans="1:20" s="14" customFormat="1" x14ac:dyDescent="0.3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S4815" s="31"/>
      <c r="T4815" s="31"/>
    </row>
    <row r="4816" spans="1:20" s="14" customFormat="1" x14ac:dyDescent="0.3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S4816" s="31"/>
      <c r="T4816" s="31"/>
    </row>
    <row r="4817" spans="1:20" s="14" customFormat="1" x14ac:dyDescent="0.3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S4817" s="31"/>
      <c r="T4817" s="31"/>
    </row>
    <row r="4818" spans="1:20" s="14" customFormat="1" x14ac:dyDescent="0.3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S4818" s="31"/>
      <c r="T4818" s="31"/>
    </row>
    <row r="4819" spans="1:20" s="14" customFormat="1" x14ac:dyDescent="0.3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S4819" s="31"/>
      <c r="T4819" s="31"/>
    </row>
    <row r="4820" spans="1:20" s="14" customFormat="1" x14ac:dyDescent="0.3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S4820" s="31"/>
      <c r="T4820" s="31"/>
    </row>
    <row r="4821" spans="1:20" s="14" customFormat="1" x14ac:dyDescent="0.3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S4821" s="31"/>
      <c r="T4821" s="31"/>
    </row>
    <row r="4822" spans="1:20" s="14" customFormat="1" x14ac:dyDescent="0.3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S4822" s="31"/>
      <c r="T4822" s="31"/>
    </row>
    <row r="4823" spans="1:20" s="14" customFormat="1" x14ac:dyDescent="0.3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S4823" s="31"/>
      <c r="T4823" s="31"/>
    </row>
    <row r="4824" spans="1:20" s="14" customFormat="1" x14ac:dyDescent="0.3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S4824" s="31"/>
      <c r="T4824" s="31"/>
    </row>
    <row r="4825" spans="1:20" s="14" customFormat="1" x14ac:dyDescent="0.3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S4825" s="31"/>
      <c r="T4825" s="31"/>
    </row>
    <row r="4826" spans="1:20" s="14" customFormat="1" x14ac:dyDescent="0.3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S4826" s="31"/>
      <c r="T4826" s="31"/>
    </row>
    <row r="4827" spans="1:20" s="14" customFormat="1" x14ac:dyDescent="0.3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S4827" s="31"/>
      <c r="T4827" s="31"/>
    </row>
    <row r="4828" spans="1:20" s="14" customFormat="1" x14ac:dyDescent="0.3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S4828" s="31"/>
      <c r="T4828" s="31"/>
    </row>
    <row r="4829" spans="1:20" s="14" customFormat="1" x14ac:dyDescent="0.3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S4829" s="31"/>
      <c r="T4829" s="31"/>
    </row>
    <row r="4830" spans="1:20" s="14" customFormat="1" x14ac:dyDescent="0.3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S4830" s="31"/>
      <c r="T4830" s="31"/>
    </row>
    <row r="4831" spans="1:20" s="14" customFormat="1" x14ac:dyDescent="0.3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S4831" s="31"/>
      <c r="T4831" s="31"/>
    </row>
    <row r="4832" spans="1:20" s="14" customFormat="1" x14ac:dyDescent="0.3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S4832" s="31"/>
      <c r="T4832" s="31"/>
    </row>
    <row r="4833" spans="1:20" s="14" customFormat="1" x14ac:dyDescent="0.3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S4833" s="31"/>
      <c r="T4833" s="31"/>
    </row>
    <row r="4834" spans="1:20" s="14" customFormat="1" x14ac:dyDescent="0.3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S4834" s="31"/>
      <c r="T4834" s="31"/>
    </row>
    <row r="4835" spans="1:20" s="14" customFormat="1" x14ac:dyDescent="0.3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S4835" s="31"/>
      <c r="T4835" s="31"/>
    </row>
    <row r="4836" spans="1:20" s="14" customFormat="1" x14ac:dyDescent="0.3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S4836" s="31"/>
      <c r="T4836" s="31"/>
    </row>
    <row r="4837" spans="1:20" s="14" customFormat="1" x14ac:dyDescent="0.3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S4837" s="31"/>
      <c r="T4837" s="31"/>
    </row>
    <row r="4838" spans="1:20" s="14" customFormat="1" x14ac:dyDescent="0.3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S4838" s="31"/>
      <c r="T4838" s="31"/>
    </row>
    <row r="4839" spans="1:20" s="14" customFormat="1" x14ac:dyDescent="0.3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S4839" s="31"/>
      <c r="T4839" s="31"/>
    </row>
    <row r="4840" spans="1:20" s="14" customFormat="1" x14ac:dyDescent="0.3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S4840" s="31"/>
      <c r="T4840" s="31"/>
    </row>
    <row r="4841" spans="1:20" s="14" customFormat="1" x14ac:dyDescent="0.3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S4841" s="31"/>
      <c r="T4841" s="31"/>
    </row>
    <row r="4842" spans="1:20" s="14" customFormat="1" x14ac:dyDescent="0.3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S4842" s="31"/>
      <c r="T4842" s="31"/>
    </row>
    <row r="4843" spans="1:20" s="14" customFormat="1" x14ac:dyDescent="0.3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S4843" s="31"/>
      <c r="T4843" s="31"/>
    </row>
    <row r="4844" spans="1:20" s="14" customFormat="1" x14ac:dyDescent="0.3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S4844" s="31"/>
      <c r="T4844" s="31"/>
    </row>
    <row r="4845" spans="1:20" s="14" customFormat="1" x14ac:dyDescent="0.3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S4845" s="31"/>
      <c r="T4845" s="31"/>
    </row>
    <row r="4846" spans="1:20" s="14" customFormat="1" x14ac:dyDescent="0.3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S4846" s="31"/>
      <c r="T4846" s="31"/>
    </row>
    <row r="4847" spans="1:20" s="14" customFormat="1" x14ac:dyDescent="0.3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S4847" s="31"/>
      <c r="T4847" s="31"/>
    </row>
    <row r="4848" spans="1:20" s="14" customFormat="1" x14ac:dyDescent="0.3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S4848" s="31"/>
      <c r="T4848" s="31"/>
    </row>
    <row r="4849" spans="1:20" s="14" customFormat="1" x14ac:dyDescent="0.3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S4849" s="31"/>
      <c r="T4849" s="31"/>
    </row>
    <row r="4850" spans="1:20" s="14" customFormat="1" x14ac:dyDescent="0.3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S4850" s="31"/>
      <c r="T4850" s="31"/>
    </row>
    <row r="4851" spans="1:20" s="14" customFormat="1" x14ac:dyDescent="0.3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S4851" s="31"/>
      <c r="T4851" s="31"/>
    </row>
    <row r="4852" spans="1:20" s="14" customFormat="1" x14ac:dyDescent="0.3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S4852" s="31"/>
      <c r="T4852" s="31"/>
    </row>
    <row r="4853" spans="1:20" s="14" customFormat="1" x14ac:dyDescent="0.3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S4853" s="31"/>
      <c r="T4853" s="31"/>
    </row>
    <row r="4854" spans="1:20" s="14" customFormat="1" x14ac:dyDescent="0.3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S4854" s="31"/>
      <c r="T4854" s="31"/>
    </row>
    <row r="4855" spans="1:20" s="14" customFormat="1" x14ac:dyDescent="0.3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S4855" s="31"/>
      <c r="T4855" s="31"/>
    </row>
    <row r="4856" spans="1:20" s="14" customFormat="1" x14ac:dyDescent="0.3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S4856" s="31"/>
      <c r="T4856" s="31"/>
    </row>
    <row r="4857" spans="1:20" s="14" customFormat="1" x14ac:dyDescent="0.3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S4857" s="31"/>
      <c r="T4857" s="31"/>
    </row>
    <row r="4858" spans="1:20" s="14" customFormat="1" x14ac:dyDescent="0.3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S4858" s="31"/>
      <c r="T4858" s="31"/>
    </row>
    <row r="4859" spans="1:20" s="14" customFormat="1" x14ac:dyDescent="0.3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S4859" s="31"/>
      <c r="T4859" s="31"/>
    </row>
    <row r="4860" spans="1:20" s="14" customFormat="1" x14ac:dyDescent="0.3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S4860" s="31"/>
      <c r="T4860" s="31"/>
    </row>
    <row r="4861" spans="1:20" s="14" customFormat="1" x14ac:dyDescent="0.3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S4861" s="31"/>
      <c r="T4861" s="31"/>
    </row>
    <row r="4862" spans="1:20" s="14" customFormat="1" x14ac:dyDescent="0.3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S4862" s="31"/>
      <c r="T4862" s="31"/>
    </row>
    <row r="4863" spans="1:20" s="14" customFormat="1" x14ac:dyDescent="0.3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S4863" s="31"/>
      <c r="T4863" s="31"/>
    </row>
    <row r="4864" spans="1:20" s="14" customFormat="1" x14ac:dyDescent="0.3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S4864" s="31"/>
      <c r="T4864" s="31"/>
    </row>
    <row r="4865" spans="1:20" s="14" customFormat="1" x14ac:dyDescent="0.3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S4865" s="31"/>
      <c r="T4865" s="31"/>
    </row>
    <row r="4866" spans="1:20" s="14" customFormat="1" x14ac:dyDescent="0.3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S4866" s="31"/>
      <c r="T4866" s="31"/>
    </row>
    <row r="4867" spans="1:20" s="14" customFormat="1" x14ac:dyDescent="0.3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S4867" s="31"/>
      <c r="T4867" s="31"/>
    </row>
    <row r="4868" spans="1:20" s="14" customFormat="1" x14ac:dyDescent="0.3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S4868" s="31"/>
      <c r="T4868" s="31"/>
    </row>
    <row r="4869" spans="1:20" s="14" customFormat="1" x14ac:dyDescent="0.3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S4869" s="31"/>
      <c r="T4869" s="31"/>
    </row>
    <row r="4870" spans="1:20" s="14" customFormat="1" x14ac:dyDescent="0.3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S4870" s="31"/>
      <c r="T4870" s="31"/>
    </row>
    <row r="4871" spans="1:20" s="14" customFormat="1" x14ac:dyDescent="0.3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S4871" s="31"/>
      <c r="T4871" s="31"/>
    </row>
    <row r="4872" spans="1:20" s="14" customFormat="1" x14ac:dyDescent="0.3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S4872" s="31"/>
      <c r="T4872" s="31"/>
    </row>
    <row r="4873" spans="1:20" s="14" customFormat="1" x14ac:dyDescent="0.3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S4873" s="31"/>
      <c r="T4873" s="31"/>
    </row>
    <row r="4874" spans="1:20" s="14" customFormat="1" x14ac:dyDescent="0.3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S4874" s="31"/>
      <c r="T4874" s="31"/>
    </row>
    <row r="4875" spans="1:20" s="14" customFormat="1" x14ac:dyDescent="0.3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S4875" s="31"/>
      <c r="T4875" s="31"/>
    </row>
    <row r="4876" spans="1:20" s="14" customFormat="1" x14ac:dyDescent="0.3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S4876" s="31"/>
      <c r="T4876" s="31"/>
    </row>
    <row r="4877" spans="1:20" s="14" customFormat="1" x14ac:dyDescent="0.3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S4877" s="31"/>
      <c r="T4877" s="31"/>
    </row>
    <row r="4878" spans="1:20" s="14" customFormat="1" x14ac:dyDescent="0.3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S4878" s="31"/>
      <c r="T4878" s="31"/>
    </row>
    <row r="4879" spans="1:20" s="14" customFormat="1" x14ac:dyDescent="0.3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S4879" s="31"/>
      <c r="T4879" s="31"/>
    </row>
    <row r="4880" spans="1:20" s="14" customFormat="1" x14ac:dyDescent="0.3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S4880" s="31"/>
      <c r="T4880" s="31"/>
    </row>
    <row r="4881" spans="1:20" s="14" customFormat="1" x14ac:dyDescent="0.3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S4881" s="31"/>
      <c r="T4881" s="31"/>
    </row>
    <row r="4882" spans="1:20" s="14" customFormat="1" x14ac:dyDescent="0.3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S4882" s="31"/>
      <c r="T4882" s="31"/>
    </row>
    <row r="4883" spans="1:20" s="14" customFormat="1" x14ac:dyDescent="0.3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S4883" s="31"/>
      <c r="T4883" s="31"/>
    </row>
    <row r="4884" spans="1:20" s="14" customFormat="1" x14ac:dyDescent="0.3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S4884" s="31"/>
      <c r="T4884" s="31"/>
    </row>
    <row r="4885" spans="1:20" s="14" customFormat="1" x14ac:dyDescent="0.3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S4885" s="31"/>
      <c r="T4885" s="31"/>
    </row>
    <row r="4886" spans="1:20" s="14" customFormat="1" x14ac:dyDescent="0.3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S4886" s="31"/>
      <c r="T4886" s="31"/>
    </row>
    <row r="4887" spans="1:20" s="14" customFormat="1" x14ac:dyDescent="0.3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S4887" s="31"/>
      <c r="T4887" s="31"/>
    </row>
    <row r="4888" spans="1:20" s="14" customFormat="1" x14ac:dyDescent="0.3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S4888" s="31"/>
      <c r="T4888" s="31"/>
    </row>
    <row r="4889" spans="1:20" s="14" customFormat="1" x14ac:dyDescent="0.3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S4889" s="31"/>
      <c r="T4889" s="31"/>
    </row>
    <row r="4890" spans="1:20" s="14" customFormat="1" x14ac:dyDescent="0.3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S4890" s="31"/>
      <c r="T4890" s="31"/>
    </row>
    <row r="4891" spans="1:20" s="14" customFormat="1" x14ac:dyDescent="0.3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S4891" s="31"/>
      <c r="T4891" s="31"/>
    </row>
    <row r="4892" spans="1:20" s="14" customFormat="1" x14ac:dyDescent="0.3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S4892" s="31"/>
      <c r="T4892" s="31"/>
    </row>
    <row r="4893" spans="1:20" s="14" customFormat="1" x14ac:dyDescent="0.3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S4893" s="31"/>
      <c r="T4893" s="31"/>
    </row>
    <row r="4894" spans="1:20" s="14" customFormat="1" x14ac:dyDescent="0.3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S4894" s="31"/>
      <c r="T4894" s="31"/>
    </row>
    <row r="4895" spans="1:20" s="14" customFormat="1" x14ac:dyDescent="0.3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S4895" s="31"/>
      <c r="T4895" s="31"/>
    </row>
    <row r="4896" spans="1:20" s="14" customFormat="1" x14ac:dyDescent="0.3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S4896" s="31"/>
      <c r="T4896" s="31"/>
    </row>
    <row r="4897" spans="1:20" s="14" customFormat="1" x14ac:dyDescent="0.3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S4897" s="31"/>
      <c r="T4897" s="31"/>
    </row>
    <row r="4898" spans="1:20" s="14" customFormat="1" x14ac:dyDescent="0.3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S4898" s="31"/>
      <c r="T4898" s="31"/>
    </row>
    <row r="4899" spans="1:20" s="14" customFormat="1" x14ac:dyDescent="0.3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S4899" s="31"/>
      <c r="T4899" s="31"/>
    </row>
    <row r="4900" spans="1:20" s="14" customFormat="1" x14ac:dyDescent="0.3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S4900" s="31"/>
      <c r="T4900" s="31"/>
    </row>
    <row r="4901" spans="1:20" s="14" customFormat="1" x14ac:dyDescent="0.3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S4901" s="31"/>
      <c r="T4901" s="31"/>
    </row>
    <row r="4902" spans="1:20" s="14" customFormat="1" x14ac:dyDescent="0.3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S4902" s="31"/>
      <c r="T4902" s="31"/>
    </row>
    <row r="4903" spans="1:20" s="14" customFormat="1" x14ac:dyDescent="0.3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S4903" s="31"/>
      <c r="T4903" s="31"/>
    </row>
    <row r="4904" spans="1:20" s="14" customFormat="1" x14ac:dyDescent="0.3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S4904" s="31"/>
      <c r="T4904" s="31"/>
    </row>
    <row r="4905" spans="1:20" s="14" customFormat="1" x14ac:dyDescent="0.3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S4905" s="31"/>
      <c r="T4905" s="31"/>
    </row>
    <row r="4906" spans="1:20" s="14" customFormat="1" x14ac:dyDescent="0.3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S4906" s="31"/>
      <c r="T4906" s="31"/>
    </row>
    <row r="4907" spans="1:20" s="14" customFormat="1" x14ac:dyDescent="0.3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S4907" s="31"/>
      <c r="T4907" s="31"/>
    </row>
    <row r="4908" spans="1:20" s="14" customFormat="1" x14ac:dyDescent="0.3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S4908" s="31"/>
      <c r="T4908" s="31"/>
    </row>
    <row r="4909" spans="1:20" s="14" customFormat="1" x14ac:dyDescent="0.3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S4909" s="31"/>
      <c r="T4909" s="31"/>
    </row>
    <row r="4910" spans="1:20" s="14" customFormat="1" x14ac:dyDescent="0.3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S4910" s="31"/>
      <c r="T4910" s="31"/>
    </row>
    <row r="4911" spans="1:20" s="14" customFormat="1" x14ac:dyDescent="0.3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S4911" s="31"/>
      <c r="T4911" s="31"/>
    </row>
    <row r="4912" spans="1:20" s="14" customFormat="1" x14ac:dyDescent="0.3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S4912" s="31"/>
      <c r="T4912" s="31"/>
    </row>
    <row r="4913" spans="1:20" s="14" customFormat="1" x14ac:dyDescent="0.3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S4913" s="31"/>
      <c r="T4913" s="31"/>
    </row>
    <row r="4914" spans="1:20" s="14" customFormat="1" x14ac:dyDescent="0.3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S4914" s="31"/>
      <c r="T4914" s="31"/>
    </row>
    <row r="4915" spans="1:20" s="14" customFormat="1" x14ac:dyDescent="0.3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S4915" s="31"/>
      <c r="T4915" s="31"/>
    </row>
    <row r="4916" spans="1:20" s="14" customFormat="1" x14ac:dyDescent="0.3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S4916" s="31"/>
      <c r="T4916" s="31"/>
    </row>
    <row r="4917" spans="1:20" s="14" customFormat="1" x14ac:dyDescent="0.3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S4917" s="31"/>
      <c r="T4917" s="31"/>
    </row>
    <row r="4918" spans="1:20" s="14" customFormat="1" x14ac:dyDescent="0.3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S4918" s="31"/>
      <c r="T4918" s="31"/>
    </row>
    <row r="4919" spans="1:20" s="14" customFormat="1" x14ac:dyDescent="0.3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S4919" s="31"/>
      <c r="T4919" s="31"/>
    </row>
    <row r="4920" spans="1:20" s="14" customFormat="1" x14ac:dyDescent="0.3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S4920" s="31"/>
      <c r="T4920" s="31"/>
    </row>
    <row r="4921" spans="1:20" s="14" customFormat="1" x14ac:dyDescent="0.3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S4921" s="31"/>
      <c r="T4921" s="31"/>
    </row>
    <row r="4922" spans="1:20" s="14" customFormat="1" x14ac:dyDescent="0.3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S4922" s="31"/>
      <c r="T4922" s="31"/>
    </row>
    <row r="4923" spans="1:20" s="14" customFormat="1" x14ac:dyDescent="0.3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S4923" s="31"/>
      <c r="T4923" s="31"/>
    </row>
    <row r="4924" spans="1:20" s="14" customFormat="1" x14ac:dyDescent="0.3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S4924" s="31"/>
      <c r="T4924" s="31"/>
    </row>
    <row r="4925" spans="1:20" s="14" customFormat="1" x14ac:dyDescent="0.3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S4925" s="31"/>
      <c r="T4925" s="31"/>
    </row>
    <row r="4926" spans="1:20" s="14" customFormat="1" x14ac:dyDescent="0.3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S4926" s="31"/>
      <c r="T4926" s="31"/>
    </row>
    <row r="4927" spans="1:20" s="14" customFormat="1" x14ac:dyDescent="0.3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S4927" s="31"/>
      <c r="T4927" s="31"/>
    </row>
    <row r="4928" spans="1:20" s="14" customFormat="1" x14ac:dyDescent="0.3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S4928" s="31"/>
      <c r="T4928" s="31"/>
    </row>
    <row r="4929" spans="1:20" s="14" customFormat="1" x14ac:dyDescent="0.3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S4929" s="31"/>
      <c r="T4929" s="31"/>
    </row>
    <row r="4930" spans="1:20" s="14" customFormat="1" x14ac:dyDescent="0.3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S4930" s="31"/>
      <c r="T4930" s="31"/>
    </row>
    <row r="4931" spans="1:20" s="14" customFormat="1" x14ac:dyDescent="0.3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S4931" s="31"/>
      <c r="T4931" s="31"/>
    </row>
    <row r="4932" spans="1:20" s="14" customFormat="1" x14ac:dyDescent="0.3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S4932" s="31"/>
      <c r="T4932" s="31"/>
    </row>
    <row r="4933" spans="1:20" s="14" customFormat="1" x14ac:dyDescent="0.3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S4933" s="31"/>
      <c r="T4933" s="31"/>
    </row>
    <row r="4934" spans="1:20" s="14" customFormat="1" x14ac:dyDescent="0.3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S4934" s="31"/>
      <c r="T4934" s="31"/>
    </row>
    <row r="4935" spans="1:20" s="14" customFormat="1" x14ac:dyDescent="0.3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S4935" s="31"/>
      <c r="T4935" s="31"/>
    </row>
    <row r="4936" spans="1:20" s="14" customFormat="1" x14ac:dyDescent="0.3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S4936" s="31"/>
      <c r="T4936" s="31"/>
    </row>
    <row r="4937" spans="1:20" s="14" customFormat="1" x14ac:dyDescent="0.3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S4937" s="31"/>
      <c r="T4937" s="31"/>
    </row>
    <row r="4938" spans="1:20" s="14" customFormat="1" x14ac:dyDescent="0.3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S4938" s="31"/>
      <c r="T4938" s="31"/>
    </row>
    <row r="4939" spans="1:20" s="14" customFormat="1" x14ac:dyDescent="0.3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S4939" s="31"/>
      <c r="T4939" s="31"/>
    </row>
    <row r="4940" spans="1:20" s="14" customFormat="1" x14ac:dyDescent="0.3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S4940" s="31"/>
      <c r="T4940" s="31"/>
    </row>
    <row r="4941" spans="1:20" s="14" customFormat="1" x14ac:dyDescent="0.3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S4941" s="31"/>
      <c r="T4941" s="31"/>
    </row>
    <row r="4942" spans="1:20" s="14" customFormat="1" x14ac:dyDescent="0.3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S4942" s="31"/>
      <c r="T4942" s="31"/>
    </row>
    <row r="4943" spans="1:20" s="14" customFormat="1" x14ac:dyDescent="0.3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S4943" s="31"/>
      <c r="T4943" s="31"/>
    </row>
    <row r="4944" spans="1:20" s="14" customFormat="1" x14ac:dyDescent="0.3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S4944" s="31"/>
      <c r="T4944" s="31"/>
    </row>
    <row r="4945" spans="1:20" s="14" customFormat="1" x14ac:dyDescent="0.3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S4945" s="31"/>
      <c r="T4945" s="31"/>
    </row>
    <row r="4946" spans="1:20" s="14" customFormat="1" x14ac:dyDescent="0.3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S4946" s="31"/>
      <c r="T4946" s="31"/>
    </row>
    <row r="4947" spans="1:20" s="14" customFormat="1" x14ac:dyDescent="0.3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S4947" s="31"/>
      <c r="T4947" s="31"/>
    </row>
    <row r="4948" spans="1:20" s="14" customFormat="1" x14ac:dyDescent="0.3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S4948" s="31"/>
      <c r="T4948" s="31"/>
    </row>
    <row r="4949" spans="1:20" s="14" customFormat="1" x14ac:dyDescent="0.3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S4949" s="31"/>
      <c r="T4949" s="31"/>
    </row>
    <row r="4950" spans="1:20" s="14" customFormat="1" x14ac:dyDescent="0.3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S4950" s="31"/>
      <c r="T4950" s="31"/>
    </row>
    <row r="4951" spans="1:20" s="14" customFormat="1" x14ac:dyDescent="0.3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S4951" s="31"/>
      <c r="T4951" s="31"/>
    </row>
    <row r="4952" spans="1:20" s="14" customFormat="1" x14ac:dyDescent="0.3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S4952" s="31"/>
      <c r="T4952" s="31"/>
    </row>
    <row r="4953" spans="1:20" s="14" customFormat="1" x14ac:dyDescent="0.3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S4953" s="31"/>
      <c r="T4953" s="31"/>
    </row>
    <row r="4954" spans="1:20" s="14" customFormat="1" x14ac:dyDescent="0.3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S4954" s="31"/>
      <c r="T4954" s="31"/>
    </row>
    <row r="4955" spans="1:20" s="14" customFormat="1" x14ac:dyDescent="0.3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S4955" s="31"/>
      <c r="T4955" s="31"/>
    </row>
    <row r="4956" spans="1:20" s="14" customFormat="1" x14ac:dyDescent="0.3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S4956" s="31"/>
      <c r="T4956" s="31"/>
    </row>
    <row r="4957" spans="1:20" s="14" customFormat="1" x14ac:dyDescent="0.3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S4957" s="31"/>
      <c r="T4957" s="31"/>
    </row>
    <row r="4958" spans="1:20" s="14" customFormat="1" x14ac:dyDescent="0.3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S4958" s="31"/>
      <c r="T4958" s="31"/>
    </row>
    <row r="4959" spans="1:20" s="14" customFormat="1" x14ac:dyDescent="0.3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S4959" s="31"/>
      <c r="T4959" s="31"/>
    </row>
    <row r="4960" spans="1:20" s="14" customFormat="1" x14ac:dyDescent="0.3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S4960" s="31"/>
      <c r="T4960" s="31"/>
    </row>
    <row r="4961" spans="1:20" s="14" customFormat="1" x14ac:dyDescent="0.3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S4961" s="31"/>
      <c r="T4961" s="31"/>
    </row>
    <row r="4962" spans="1:20" s="14" customFormat="1" x14ac:dyDescent="0.3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S4962" s="31"/>
      <c r="T4962" s="31"/>
    </row>
    <row r="4963" spans="1:20" s="14" customFormat="1" x14ac:dyDescent="0.3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S4963" s="31"/>
      <c r="T4963" s="31"/>
    </row>
    <row r="4964" spans="1:20" s="14" customFormat="1" x14ac:dyDescent="0.3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S4964" s="31"/>
      <c r="T4964" s="31"/>
    </row>
    <row r="4965" spans="1:20" s="14" customFormat="1" x14ac:dyDescent="0.3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S4965" s="31"/>
      <c r="T4965" s="31"/>
    </row>
    <row r="4966" spans="1:20" s="14" customFormat="1" x14ac:dyDescent="0.3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S4966" s="31"/>
      <c r="T4966" s="31"/>
    </row>
    <row r="4967" spans="1:20" s="14" customFormat="1" x14ac:dyDescent="0.3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S4967" s="31"/>
      <c r="T4967" s="31"/>
    </row>
    <row r="4968" spans="1:20" s="14" customFormat="1" x14ac:dyDescent="0.3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S4968" s="31"/>
      <c r="T4968" s="31"/>
    </row>
    <row r="4969" spans="1:20" s="14" customFormat="1" x14ac:dyDescent="0.3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S4969" s="31"/>
      <c r="T4969" s="31"/>
    </row>
    <row r="4970" spans="1:20" s="14" customFormat="1" x14ac:dyDescent="0.3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S4970" s="31"/>
      <c r="T4970" s="31"/>
    </row>
    <row r="4971" spans="1:20" s="14" customFormat="1" x14ac:dyDescent="0.3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S4971" s="31"/>
      <c r="T4971" s="31"/>
    </row>
    <row r="4972" spans="1:20" s="14" customFormat="1" x14ac:dyDescent="0.3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S4972" s="31"/>
      <c r="T4972" s="31"/>
    </row>
    <row r="4973" spans="1:20" s="14" customFormat="1" x14ac:dyDescent="0.3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S4973" s="31"/>
      <c r="T4973" s="31"/>
    </row>
    <row r="4974" spans="1:20" s="14" customFormat="1" x14ac:dyDescent="0.3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S4974" s="31"/>
      <c r="T4974" s="31"/>
    </row>
    <row r="4975" spans="1:20" s="14" customFormat="1" x14ac:dyDescent="0.3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S4975" s="31"/>
      <c r="T4975" s="31"/>
    </row>
    <row r="4976" spans="1:20" s="14" customFormat="1" x14ac:dyDescent="0.3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S4976" s="31"/>
      <c r="T4976" s="31"/>
    </row>
    <row r="4977" spans="1:20" s="14" customFormat="1" x14ac:dyDescent="0.3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S4977" s="31"/>
      <c r="T4977" s="31"/>
    </row>
    <row r="4978" spans="1:20" s="14" customFormat="1" x14ac:dyDescent="0.3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S4978" s="31"/>
      <c r="T4978" s="31"/>
    </row>
    <row r="4979" spans="1:20" s="14" customFormat="1" x14ac:dyDescent="0.3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S4979" s="31"/>
      <c r="T4979" s="31"/>
    </row>
    <row r="4980" spans="1:20" s="14" customFormat="1" x14ac:dyDescent="0.3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S4980" s="31"/>
      <c r="T4980" s="31"/>
    </row>
    <row r="4981" spans="1:20" s="14" customFormat="1" x14ac:dyDescent="0.3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S4981" s="31"/>
      <c r="T4981" s="31"/>
    </row>
    <row r="4982" spans="1:20" s="14" customFormat="1" x14ac:dyDescent="0.3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S4982" s="31"/>
      <c r="T4982" s="31"/>
    </row>
    <row r="4983" spans="1:20" s="14" customFormat="1" x14ac:dyDescent="0.3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S4983" s="31"/>
      <c r="T4983" s="31"/>
    </row>
    <row r="4984" spans="1:20" s="14" customFormat="1" x14ac:dyDescent="0.3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S4984" s="31"/>
      <c r="T4984" s="31"/>
    </row>
    <row r="4985" spans="1:20" s="14" customFormat="1" x14ac:dyDescent="0.3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S4985" s="31"/>
      <c r="T4985" s="31"/>
    </row>
    <row r="4986" spans="1:20" s="14" customFormat="1" x14ac:dyDescent="0.3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S4986" s="31"/>
      <c r="T4986" s="31"/>
    </row>
    <row r="4987" spans="1:20" s="14" customFormat="1" x14ac:dyDescent="0.3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S4987" s="31"/>
      <c r="T4987" s="31"/>
    </row>
    <row r="4988" spans="1:20" s="14" customFormat="1" x14ac:dyDescent="0.3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S4988" s="31"/>
      <c r="T4988" s="31"/>
    </row>
    <row r="4989" spans="1:20" s="14" customFormat="1" x14ac:dyDescent="0.3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S4989" s="31"/>
      <c r="T4989" s="31"/>
    </row>
    <row r="4990" spans="1:20" s="14" customFormat="1" x14ac:dyDescent="0.3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S4990" s="31"/>
      <c r="T4990" s="31"/>
    </row>
    <row r="4991" spans="1:20" s="14" customFormat="1" x14ac:dyDescent="0.3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S4991" s="31"/>
      <c r="T4991" s="31"/>
    </row>
    <row r="4992" spans="1:20" s="14" customFormat="1" x14ac:dyDescent="0.3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S4992" s="31"/>
      <c r="T4992" s="31"/>
    </row>
    <row r="4993" spans="1:20" s="14" customFormat="1" x14ac:dyDescent="0.3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S4993" s="31"/>
      <c r="T4993" s="31"/>
    </row>
    <row r="4994" spans="1:20" s="14" customFormat="1" x14ac:dyDescent="0.3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S4994" s="31"/>
      <c r="T4994" s="31"/>
    </row>
    <row r="4995" spans="1:20" s="14" customFormat="1" x14ac:dyDescent="0.3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S4995" s="31"/>
      <c r="T4995" s="31"/>
    </row>
    <row r="4996" spans="1:20" s="14" customFormat="1" x14ac:dyDescent="0.3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S4996" s="31"/>
      <c r="T4996" s="31"/>
    </row>
    <row r="4997" spans="1:20" s="14" customFormat="1" x14ac:dyDescent="0.3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S4997" s="31"/>
      <c r="T4997" s="31"/>
    </row>
    <row r="4998" spans="1:20" s="14" customFormat="1" x14ac:dyDescent="0.3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S4998" s="31"/>
      <c r="T4998" s="31"/>
    </row>
    <row r="4999" spans="1:20" s="14" customFormat="1" x14ac:dyDescent="0.3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S4999" s="31"/>
      <c r="T4999" s="31"/>
    </row>
    <row r="5000" spans="1:20" s="14" customFormat="1" x14ac:dyDescent="0.3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S5000" s="31"/>
      <c r="T5000" s="31"/>
    </row>
    <row r="5001" spans="1:20" s="14" customFormat="1" x14ac:dyDescent="0.3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S5001" s="31"/>
      <c r="T5001" s="31"/>
    </row>
    <row r="5002" spans="1:20" s="14" customFormat="1" x14ac:dyDescent="0.3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S5002" s="31"/>
      <c r="T5002" s="31"/>
    </row>
    <row r="5003" spans="1:20" s="14" customFormat="1" x14ac:dyDescent="0.3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S5003" s="31"/>
      <c r="T5003" s="31"/>
    </row>
    <row r="5004" spans="1:20" s="14" customFormat="1" x14ac:dyDescent="0.3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S5004" s="31"/>
      <c r="T5004" s="31"/>
    </row>
    <row r="5005" spans="1:20" s="14" customFormat="1" x14ac:dyDescent="0.3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S5005" s="31"/>
      <c r="T5005" s="31"/>
    </row>
    <row r="5006" spans="1:20" s="14" customFormat="1" x14ac:dyDescent="0.3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S5006" s="31"/>
      <c r="T5006" s="31"/>
    </row>
    <row r="5007" spans="1:20" s="14" customFormat="1" x14ac:dyDescent="0.3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S5007" s="31"/>
      <c r="T5007" s="31"/>
    </row>
    <row r="5008" spans="1:20" s="14" customFormat="1" x14ac:dyDescent="0.3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S5008" s="31"/>
      <c r="T5008" s="31"/>
    </row>
    <row r="5009" spans="1:20" s="14" customFormat="1" x14ac:dyDescent="0.3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S5009" s="31"/>
      <c r="T5009" s="31"/>
    </row>
    <row r="5010" spans="1:20" s="14" customFormat="1" x14ac:dyDescent="0.3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S5010" s="31"/>
      <c r="T5010" s="31"/>
    </row>
    <row r="5011" spans="1:20" s="14" customFormat="1" x14ac:dyDescent="0.3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S5011" s="31"/>
      <c r="T5011" s="31"/>
    </row>
    <row r="5012" spans="1:20" s="14" customFormat="1" x14ac:dyDescent="0.3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S5012" s="31"/>
      <c r="T5012" s="31"/>
    </row>
    <row r="5013" spans="1:20" s="14" customFormat="1" x14ac:dyDescent="0.3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S5013" s="31"/>
      <c r="T5013" s="31"/>
    </row>
    <row r="5014" spans="1:20" s="14" customFormat="1" x14ac:dyDescent="0.3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S5014" s="31"/>
      <c r="T5014" s="31"/>
    </row>
    <row r="5015" spans="1:20" s="14" customFormat="1" x14ac:dyDescent="0.3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S5015" s="31"/>
      <c r="T5015" s="31"/>
    </row>
    <row r="5016" spans="1:20" s="14" customFormat="1" x14ac:dyDescent="0.3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S5016" s="31"/>
      <c r="T5016" s="31"/>
    </row>
    <row r="5017" spans="1:20" s="14" customFormat="1" x14ac:dyDescent="0.3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S5017" s="31"/>
      <c r="T5017" s="31"/>
    </row>
    <row r="5018" spans="1:20" s="14" customFormat="1" x14ac:dyDescent="0.3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S5018" s="31"/>
      <c r="T5018" s="31"/>
    </row>
    <row r="5019" spans="1:20" s="14" customFormat="1" x14ac:dyDescent="0.3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S5019" s="31"/>
      <c r="T5019" s="31"/>
    </row>
    <row r="5020" spans="1:20" s="14" customFormat="1" x14ac:dyDescent="0.3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S5020" s="31"/>
      <c r="T5020" s="31"/>
    </row>
    <row r="5021" spans="1:20" s="14" customFormat="1" x14ac:dyDescent="0.3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S5021" s="31"/>
      <c r="T5021" s="31"/>
    </row>
    <row r="5022" spans="1:20" s="14" customFormat="1" x14ac:dyDescent="0.3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S5022" s="31"/>
      <c r="T5022" s="31"/>
    </row>
    <row r="5023" spans="1:20" s="14" customFormat="1" x14ac:dyDescent="0.3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S5023" s="31"/>
      <c r="T5023" s="31"/>
    </row>
    <row r="5024" spans="1:20" s="14" customFormat="1" x14ac:dyDescent="0.3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S5024" s="31"/>
      <c r="T5024" s="31"/>
    </row>
    <row r="5025" spans="1:20" s="14" customFormat="1" x14ac:dyDescent="0.3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S5025" s="31"/>
      <c r="T5025" s="31"/>
    </row>
    <row r="5026" spans="1:20" s="14" customFormat="1" x14ac:dyDescent="0.3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S5026" s="31"/>
      <c r="T5026" s="31"/>
    </row>
    <row r="5027" spans="1:20" s="14" customFormat="1" x14ac:dyDescent="0.3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S5027" s="31"/>
      <c r="T5027" s="31"/>
    </row>
    <row r="5028" spans="1:20" s="14" customFormat="1" x14ac:dyDescent="0.3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S5028" s="31"/>
      <c r="T5028" s="31"/>
    </row>
    <row r="5029" spans="1:20" s="14" customFormat="1" x14ac:dyDescent="0.3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S5029" s="31"/>
      <c r="T5029" s="31"/>
    </row>
    <row r="5030" spans="1:20" s="14" customFormat="1" x14ac:dyDescent="0.3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S5030" s="31"/>
      <c r="T5030" s="31"/>
    </row>
    <row r="5031" spans="1:20" s="14" customFormat="1" x14ac:dyDescent="0.3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S5031" s="31"/>
      <c r="T5031" s="31"/>
    </row>
    <row r="5032" spans="1:20" s="14" customFormat="1" x14ac:dyDescent="0.3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S5032" s="31"/>
      <c r="T5032" s="31"/>
    </row>
    <row r="5033" spans="1:20" s="14" customFormat="1" x14ac:dyDescent="0.3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S5033" s="31"/>
      <c r="T5033" s="31"/>
    </row>
    <row r="5034" spans="1:20" s="14" customFormat="1" x14ac:dyDescent="0.3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S5034" s="31"/>
      <c r="T5034" s="31"/>
    </row>
    <row r="5035" spans="1:20" s="14" customFormat="1" x14ac:dyDescent="0.3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S5035" s="31"/>
      <c r="T5035" s="31"/>
    </row>
    <row r="5036" spans="1:20" s="14" customFormat="1" x14ac:dyDescent="0.3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S5036" s="31"/>
      <c r="T5036" s="31"/>
    </row>
    <row r="5037" spans="1:20" s="14" customFormat="1" x14ac:dyDescent="0.3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S5037" s="31"/>
      <c r="T5037" s="31"/>
    </row>
    <row r="5038" spans="1:20" s="14" customFormat="1" x14ac:dyDescent="0.3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S5038" s="31"/>
      <c r="T5038" s="31"/>
    </row>
    <row r="5039" spans="1:20" s="14" customFormat="1" x14ac:dyDescent="0.3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S5039" s="31"/>
      <c r="T5039" s="31"/>
    </row>
    <row r="5040" spans="1:20" s="14" customFormat="1" x14ac:dyDescent="0.3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S5040" s="31"/>
      <c r="T5040" s="31"/>
    </row>
    <row r="5041" spans="1:20" s="14" customFormat="1" x14ac:dyDescent="0.3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S5041" s="31"/>
      <c r="T5041" s="31"/>
    </row>
    <row r="5042" spans="1:20" s="14" customFormat="1" x14ac:dyDescent="0.3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S5042" s="31"/>
      <c r="T5042" s="31"/>
    </row>
    <row r="5043" spans="1:20" s="14" customFormat="1" x14ac:dyDescent="0.3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S5043" s="31"/>
      <c r="T5043" s="31"/>
    </row>
    <row r="5044" spans="1:20" s="14" customFormat="1" x14ac:dyDescent="0.3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S5044" s="31"/>
      <c r="T5044" s="31"/>
    </row>
    <row r="5045" spans="1:20" s="14" customFormat="1" x14ac:dyDescent="0.3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S5045" s="31"/>
      <c r="T5045" s="31"/>
    </row>
    <row r="5046" spans="1:20" s="14" customFormat="1" x14ac:dyDescent="0.3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S5046" s="31"/>
      <c r="T5046" s="31"/>
    </row>
    <row r="5047" spans="1:20" s="14" customFormat="1" x14ac:dyDescent="0.3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S5047" s="31"/>
      <c r="T5047" s="31"/>
    </row>
    <row r="5048" spans="1:20" s="14" customFormat="1" x14ac:dyDescent="0.3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S5048" s="31"/>
      <c r="T5048" s="31"/>
    </row>
    <row r="5049" spans="1:20" s="14" customFormat="1" x14ac:dyDescent="0.3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S5049" s="31"/>
      <c r="T5049" s="31"/>
    </row>
    <row r="5050" spans="1:20" s="14" customFormat="1" x14ac:dyDescent="0.3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S5050" s="31"/>
      <c r="T5050" s="31"/>
    </row>
    <row r="5051" spans="1:20" s="14" customFormat="1" x14ac:dyDescent="0.3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S5051" s="31"/>
      <c r="T5051" s="31"/>
    </row>
    <row r="5052" spans="1:20" s="14" customFormat="1" x14ac:dyDescent="0.3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S5052" s="31"/>
      <c r="T5052" s="31"/>
    </row>
    <row r="5053" spans="1:20" s="14" customFormat="1" x14ac:dyDescent="0.3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S5053" s="31"/>
      <c r="T5053" s="31"/>
    </row>
    <row r="5054" spans="1:20" s="14" customFormat="1" x14ac:dyDescent="0.3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S5054" s="31"/>
      <c r="T5054" s="31"/>
    </row>
    <row r="5055" spans="1:20" s="14" customFormat="1" x14ac:dyDescent="0.3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S5055" s="31"/>
      <c r="T5055" s="31"/>
    </row>
    <row r="5056" spans="1:20" s="14" customFormat="1" x14ac:dyDescent="0.3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S5056" s="31"/>
      <c r="T5056" s="31"/>
    </row>
    <row r="5057" spans="1:20" s="14" customFormat="1" x14ac:dyDescent="0.3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S5057" s="31"/>
      <c r="T5057" s="31"/>
    </row>
    <row r="5058" spans="1:20" s="14" customFormat="1" x14ac:dyDescent="0.3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S5058" s="31"/>
      <c r="T5058" s="31"/>
    </row>
    <row r="5059" spans="1:20" s="14" customFormat="1" x14ac:dyDescent="0.3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S5059" s="31"/>
      <c r="T5059" s="31"/>
    </row>
    <row r="5060" spans="1:20" s="14" customFormat="1" x14ac:dyDescent="0.3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S5060" s="31"/>
      <c r="T5060" s="31"/>
    </row>
    <row r="5061" spans="1:20" s="14" customFormat="1" x14ac:dyDescent="0.3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S5061" s="31"/>
      <c r="T5061" s="31"/>
    </row>
    <row r="5062" spans="1:20" s="14" customFormat="1" x14ac:dyDescent="0.3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S5062" s="31"/>
      <c r="T5062" s="31"/>
    </row>
    <row r="5063" spans="1:20" s="14" customFormat="1" x14ac:dyDescent="0.3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S5063" s="31"/>
      <c r="T5063" s="31"/>
    </row>
    <row r="5064" spans="1:20" s="14" customFormat="1" x14ac:dyDescent="0.3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S5064" s="31"/>
      <c r="T5064" s="31"/>
    </row>
    <row r="5065" spans="1:20" s="14" customFormat="1" x14ac:dyDescent="0.3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S5065" s="31"/>
      <c r="T5065" s="31"/>
    </row>
    <row r="5066" spans="1:20" s="14" customFormat="1" x14ac:dyDescent="0.3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S5066" s="31"/>
      <c r="T5066" s="31"/>
    </row>
    <row r="5067" spans="1:20" s="14" customFormat="1" x14ac:dyDescent="0.3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S5067" s="31"/>
      <c r="T5067" s="31"/>
    </row>
    <row r="5068" spans="1:20" s="14" customFormat="1" x14ac:dyDescent="0.3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S5068" s="31"/>
      <c r="T5068" s="31"/>
    </row>
    <row r="5069" spans="1:20" s="14" customFormat="1" x14ac:dyDescent="0.3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S5069" s="31"/>
      <c r="T5069" s="31"/>
    </row>
    <row r="5070" spans="1:20" s="14" customFormat="1" x14ac:dyDescent="0.3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S5070" s="31"/>
      <c r="T5070" s="31"/>
    </row>
    <row r="5071" spans="1:20" s="14" customFormat="1" x14ac:dyDescent="0.3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S5071" s="31"/>
      <c r="T5071" s="31"/>
    </row>
    <row r="5072" spans="1:20" s="14" customFormat="1" x14ac:dyDescent="0.3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S5072" s="31"/>
      <c r="T5072" s="31"/>
    </row>
    <row r="5073" spans="1:20" s="14" customFormat="1" x14ac:dyDescent="0.3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S5073" s="31"/>
      <c r="T5073" s="31"/>
    </row>
    <row r="5074" spans="1:20" s="14" customFormat="1" x14ac:dyDescent="0.3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S5074" s="31"/>
      <c r="T5074" s="31"/>
    </row>
    <row r="5075" spans="1:20" s="14" customFormat="1" x14ac:dyDescent="0.3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S5075" s="31"/>
      <c r="T5075" s="31"/>
    </row>
    <row r="5076" spans="1:20" s="14" customFormat="1" x14ac:dyDescent="0.3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S5076" s="31"/>
      <c r="T5076" s="31"/>
    </row>
    <row r="5077" spans="1:20" s="14" customFormat="1" x14ac:dyDescent="0.3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S5077" s="31"/>
      <c r="T5077" s="31"/>
    </row>
    <row r="5078" spans="1:20" s="14" customFormat="1" x14ac:dyDescent="0.3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S5078" s="31"/>
      <c r="T5078" s="31"/>
    </row>
    <row r="5079" spans="1:20" s="14" customFormat="1" x14ac:dyDescent="0.3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S5079" s="31"/>
      <c r="T5079" s="31"/>
    </row>
    <row r="5080" spans="1:20" s="14" customFormat="1" x14ac:dyDescent="0.3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S5080" s="31"/>
      <c r="T5080" s="31"/>
    </row>
    <row r="5081" spans="1:20" s="14" customFormat="1" x14ac:dyDescent="0.3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S5081" s="31"/>
      <c r="T5081" s="31"/>
    </row>
    <row r="5082" spans="1:20" s="14" customFormat="1" x14ac:dyDescent="0.3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S5082" s="31"/>
      <c r="T5082" s="31"/>
    </row>
    <row r="5083" spans="1:20" s="14" customFormat="1" x14ac:dyDescent="0.3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S5083" s="31"/>
      <c r="T5083" s="31"/>
    </row>
    <row r="5084" spans="1:20" s="14" customFormat="1" x14ac:dyDescent="0.3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S5084" s="31"/>
      <c r="T5084" s="31"/>
    </row>
    <row r="5085" spans="1:20" s="14" customFormat="1" x14ac:dyDescent="0.3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S5085" s="31"/>
      <c r="T5085" s="31"/>
    </row>
    <row r="5086" spans="1:20" s="14" customFormat="1" x14ac:dyDescent="0.3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S5086" s="31"/>
      <c r="T5086" s="31"/>
    </row>
    <row r="5087" spans="1:20" s="14" customFormat="1" x14ac:dyDescent="0.3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S5087" s="31"/>
      <c r="T5087" s="31"/>
    </row>
    <row r="5088" spans="1:20" s="14" customFormat="1" x14ac:dyDescent="0.3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S5088" s="31"/>
      <c r="T5088" s="31"/>
    </row>
    <row r="5089" spans="1:20" s="14" customFormat="1" x14ac:dyDescent="0.3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S5089" s="31"/>
      <c r="T5089" s="31"/>
    </row>
    <row r="5090" spans="1:20" s="14" customFormat="1" x14ac:dyDescent="0.3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S5090" s="31"/>
      <c r="T5090" s="31"/>
    </row>
    <row r="5091" spans="1:20" s="14" customFormat="1" x14ac:dyDescent="0.3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S5091" s="31"/>
      <c r="T5091" s="31"/>
    </row>
    <row r="5092" spans="1:20" s="14" customFormat="1" x14ac:dyDescent="0.3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S5092" s="31"/>
      <c r="T5092" s="31"/>
    </row>
    <row r="5093" spans="1:20" s="14" customFormat="1" x14ac:dyDescent="0.3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S5093" s="31"/>
      <c r="T5093" s="31"/>
    </row>
    <row r="5094" spans="1:20" s="14" customFormat="1" x14ac:dyDescent="0.3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S5094" s="31"/>
      <c r="T5094" s="31"/>
    </row>
    <row r="5095" spans="1:20" s="14" customFormat="1" x14ac:dyDescent="0.3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S5095" s="31"/>
      <c r="T5095" s="31"/>
    </row>
    <row r="5096" spans="1:20" s="14" customFormat="1" x14ac:dyDescent="0.3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S5096" s="31"/>
      <c r="T5096" s="31"/>
    </row>
    <row r="5097" spans="1:20" s="14" customFormat="1" x14ac:dyDescent="0.3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S5097" s="31"/>
      <c r="T5097" s="31"/>
    </row>
    <row r="5098" spans="1:20" s="14" customFormat="1" x14ac:dyDescent="0.3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S5098" s="31"/>
      <c r="T5098" s="31"/>
    </row>
    <row r="5099" spans="1:20" s="14" customFormat="1" x14ac:dyDescent="0.3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S5099" s="31"/>
      <c r="T5099" s="31"/>
    </row>
    <row r="5100" spans="1:20" s="14" customFormat="1" x14ac:dyDescent="0.3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S5100" s="31"/>
      <c r="T5100" s="31"/>
    </row>
    <row r="5101" spans="1:20" s="14" customFormat="1" x14ac:dyDescent="0.3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S5101" s="31"/>
      <c r="T5101" s="31"/>
    </row>
    <row r="5102" spans="1:20" s="14" customFormat="1" x14ac:dyDescent="0.3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S5102" s="31"/>
      <c r="T5102" s="31"/>
    </row>
    <row r="5103" spans="1:20" s="14" customFormat="1" x14ac:dyDescent="0.3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S5103" s="31"/>
      <c r="T5103" s="31"/>
    </row>
    <row r="5104" spans="1:20" s="14" customFormat="1" x14ac:dyDescent="0.3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S5104" s="31"/>
      <c r="T5104" s="31"/>
    </row>
    <row r="5105" spans="1:20" s="14" customFormat="1" x14ac:dyDescent="0.3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S5105" s="31"/>
      <c r="T5105" s="31"/>
    </row>
    <row r="5106" spans="1:20" s="14" customFormat="1" x14ac:dyDescent="0.3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S5106" s="31"/>
      <c r="T5106" s="31"/>
    </row>
    <row r="5107" spans="1:20" s="14" customFormat="1" x14ac:dyDescent="0.3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S5107" s="31"/>
      <c r="T5107" s="31"/>
    </row>
    <row r="5108" spans="1:20" s="14" customFormat="1" x14ac:dyDescent="0.3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S5108" s="31"/>
      <c r="T5108" s="31"/>
    </row>
    <row r="5109" spans="1:20" s="14" customFormat="1" x14ac:dyDescent="0.3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S5109" s="31"/>
      <c r="T5109" s="31"/>
    </row>
    <row r="5110" spans="1:20" s="14" customFormat="1" x14ac:dyDescent="0.3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S5110" s="31"/>
      <c r="T5110" s="31"/>
    </row>
    <row r="5111" spans="1:20" s="14" customFormat="1" x14ac:dyDescent="0.3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S5111" s="31"/>
      <c r="T5111" s="31"/>
    </row>
    <row r="5112" spans="1:20" s="14" customFormat="1" x14ac:dyDescent="0.3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S5112" s="31"/>
      <c r="T5112" s="31"/>
    </row>
    <row r="5113" spans="1:20" s="14" customFormat="1" x14ac:dyDescent="0.3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S5113" s="31"/>
      <c r="T5113" s="31"/>
    </row>
    <row r="5114" spans="1:20" s="14" customFormat="1" x14ac:dyDescent="0.3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S5114" s="31"/>
      <c r="T5114" s="31"/>
    </row>
    <row r="5115" spans="1:20" s="14" customFormat="1" x14ac:dyDescent="0.3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S5115" s="31"/>
      <c r="T5115" s="31"/>
    </row>
    <row r="5116" spans="1:20" s="14" customFormat="1" x14ac:dyDescent="0.3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S5116" s="31"/>
      <c r="T5116" s="31"/>
    </row>
    <row r="5117" spans="1:20" s="14" customFormat="1" x14ac:dyDescent="0.3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S5117" s="31"/>
      <c r="T5117" s="31"/>
    </row>
    <row r="5118" spans="1:20" s="14" customFormat="1" x14ac:dyDescent="0.3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S5118" s="31"/>
      <c r="T5118" s="31"/>
    </row>
    <row r="5119" spans="1:20" s="14" customFormat="1" x14ac:dyDescent="0.3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S5119" s="31"/>
      <c r="T5119" s="31"/>
    </row>
    <row r="5120" spans="1:20" s="14" customFormat="1" x14ac:dyDescent="0.3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S5120" s="31"/>
      <c r="T5120" s="31"/>
    </row>
    <row r="5121" spans="1:20" s="14" customFormat="1" x14ac:dyDescent="0.3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S5121" s="31"/>
      <c r="T5121" s="31"/>
    </row>
    <row r="5122" spans="1:20" s="14" customFormat="1" x14ac:dyDescent="0.3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S5122" s="31"/>
      <c r="T5122" s="31"/>
    </row>
    <row r="5123" spans="1:20" s="14" customFormat="1" x14ac:dyDescent="0.3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S5123" s="31"/>
      <c r="T5123" s="31"/>
    </row>
    <row r="5124" spans="1:20" s="14" customFormat="1" x14ac:dyDescent="0.3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S5124" s="31"/>
      <c r="T5124" s="31"/>
    </row>
    <row r="5125" spans="1:20" s="14" customFormat="1" x14ac:dyDescent="0.3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S5125" s="31"/>
      <c r="T5125" s="31"/>
    </row>
    <row r="5126" spans="1:20" s="14" customFormat="1" x14ac:dyDescent="0.3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S5126" s="31"/>
      <c r="T5126" s="31"/>
    </row>
    <row r="5127" spans="1:20" s="14" customFormat="1" x14ac:dyDescent="0.3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S5127" s="31"/>
      <c r="T5127" s="31"/>
    </row>
    <row r="5128" spans="1:20" s="14" customFormat="1" x14ac:dyDescent="0.3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S5128" s="31"/>
      <c r="T5128" s="31"/>
    </row>
    <row r="5129" spans="1:20" s="14" customFormat="1" x14ac:dyDescent="0.3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S5129" s="31"/>
      <c r="T5129" s="31"/>
    </row>
    <row r="5130" spans="1:20" s="14" customFormat="1" x14ac:dyDescent="0.3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S5130" s="31"/>
      <c r="T5130" s="31"/>
    </row>
    <row r="5131" spans="1:20" s="14" customFormat="1" x14ac:dyDescent="0.3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S5131" s="31"/>
      <c r="T5131" s="31"/>
    </row>
    <row r="5132" spans="1:20" s="14" customFormat="1" x14ac:dyDescent="0.3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S5132" s="31"/>
      <c r="T5132" s="31"/>
    </row>
    <row r="5133" spans="1:20" s="14" customFormat="1" x14ac:dyDescent="0.3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S5133" s="31"/>
      <c r="T5133" s="31"/>
    </row>
    <row r="5134" spans="1:20" s="14" customFormat="1" x14ac:dyDescent="0.3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S5134" s="31"/>
      <c r="T5134" s="31"/>
    </row>
    <row r="5135" spans="1:20" s="14" customFormat="1" x14ac:dyDescent="0.3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S5135" s="31"/>
      <c r="T5135" s="31"/>
    </row>
    <row r="5136" spans="1:20" s="14" customFormat="1" x14ac:dyDescent="0.3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S5136" s="31"/>
      <c r="T5136" s="31"/>
    </row>
    <row r="5137" spans="1:20" s="14" customFormat="1" x14ac:dyDescent="0.3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S5137" s="31"/>
      <c r="T5137" s="31"/>
    </row>
    <row r="5138" spans="1:20" s="14" customFormat="1" x14ac:dyDescent="0.3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S5138" s="31"/>
      <c r="T5138" s="31"/>
    </row>
    <row r="5139" spans="1:20" s="14" customFormat="1" x14ac:dyDescent="0.3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S5139" s="31"/>
      <c r="T5139" s="31"/>
    </row>
    <row r="5140" spans="1:20" s="14" customFormat="1" x14ac:dyDescent="0.3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S5140" s="31"/>
      <c r="T5140" s="31"/>
    </row>
    <row r="5141" spans="1:20" s="14" customFormat="1" x14ac:dyDescent="0.3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S5141" s="31"/>
      <c r="T5141" s="31"/>
    </row>
    <row r="5142" spans="1:20" s="14" customFormat="1" x14ac:dyDescent="0.3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S5142" s="31"/>
      <c r="T5142" s="31"/>
    </row>
    <row r="5143" spans="1:20" s="14" customFormat="1" x14ac:dyDescent="0.3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S5143" s="31"/>
      <c r="T5143" s="31"/>
    </row>
    <row r="5144" spans="1:20" s="14" customFormat="1" x14ac:dyDescent="0.3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S5144" s="31"/>
      <c r="T5144" s="31"/>
    </row>
    <row r="5145" spans="1:20" s="14" customFormat="1" x14ac:dyDescent="0.3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S5145" s="31"/>
      <c r="T5145" s="31"/>
    </row>
    <row r="5146" spans="1:20" s="14" customFormat="1" x14ac:dyDescent="0.3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S5146" s="31"/>
      <c r="T5146" s="31"/>
    </row>
    <row r="5147" spans="1:20" s="14" customFormat="1" x14ac:dyDescent="0.3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S5147" s="31"/>
      <c r="T5147" s="31"/>
    </row>
    <row r="5148" spans="1:20" s="14" customFormat="1" x14ac:dyDescent="0.3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S5148" s="31"/>
      <c r="T5148" s="31"/>
    </row>
    <row r="5149" spans="1:20" s="14" customFormat="1" x14ac:dyDescent="0.3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S5149" s="31"/>
      <c r="T5149" s="31"/>
    </row>
    <row r="5150" spans="1:20" s="14" customFormat="1" x14ac:dyDescent="0.3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S5150" s="31"/>
      <c r="T5150" s="31"/>
    </row>
    <row r="5151" spans="1:20" s="14" customFormat="1" x14ac:dyDescent="0.3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S5151" s="31"/>
      <c r="T5151" s="31"/>
    </row>
    <row r="5152" spans="1:20" s="14" customFormat="1" x14ac:dyDescent="0.3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S5152" s="31"/>
      <c r="T5152" s="31"/>
    </row>
    <row r="5153" spans="1:20" s="14" customFormat="1" x14ac:dyDescent="0.3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S5153" s="31"/>
      <c r="T5153" s="31"/>
    </row>
    <row r="5154" spans="1:20" s="14" customFormat="1" x14ac:dyDescent="0.3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S5154" s="31"/>
      <c r="T5154" s="31"/>
    </row>
    <row r="5155" spans="1:20" s="14" customFormat="1" x14ac:dyDescent="0.3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S5155" s="31"/>
      <c r="T5155" s="31"/>
    </row>
    <row r="5156" spans="1:20" s="14" customFormat="1" x14ac:dyDescent="0.3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S5156" s="31"/>
      <c r="T5156" s="31"/>
    </row>
    <row r="5157" spans="1:20" s="14" customFormat="1" x14ac:dyDescent="0.3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S5157" s="31"/>
      <c r="T5157" s="31"/>
    </row>
    <row r="5158" spans="1:20" s="14" customFormat="1" x14ac:dyDescent="0.3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S5158" s="31"/>
      <c r="T5158" s="31"/>
    </row>
    <row r="5159" spans="1:20" s="14" customFormat="1" x14ac:dyDescent="0.3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S5159" s="31"/>
      <c r="T5159" s="31"/>
    </row>
    <row r="5160" spans="1:20" s="14" customFormat="1" x14ac:dyDescent="0.3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S5160" s="31"/>
      <c r="T5160" s="31"/>
    </row>
    <row r="5161" spans="1:20" s="14" customFormat="1" x14ac:dyDescent="0.3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S5161" s="31"/>
      <c r="T5161" s="31"/>
    </row>
    <row r="5162" spans="1:20" s="14" customFormat="1" x14ac:dyDescent="0.3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S5162" s="31"/>
      <c r="T5162" s="31"/>
    </row>
    <row r="5163" spans="1:20" s="14" customFormat="1" x14ac:dyDescent="0.3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S5163" s="31"/>
      <c r="T5163" s="31"/>
    </row>
    <row r="5164" spans="1:20" s="14" customFormat="1" x14ac:dyDescent="0.3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S5164" s="31"/>
      <c r="T5164" s="31"/>
    </row>
    <row r="5165" spans="1:20" s="14" customFormat="1" x14ac:dyDescent="0.3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S5165" s="31"/>
      <c r="T5165" s="31"/>
    </row>
    <row r="5166" spans="1:20" s="14" customFormat="1" x14ac:dyDescent="0.3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S5166" s="31"/>
      <c r="T5166" s="31"/>
    </row>
    <row r="5167" spans="1:20" s="14" customFormat="1" x14ac:dyDescent="0.3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S5167" s="31"/>
      <c r="T5167" s="31"/>
    </row>
    <row r="5168" spans="1:20" s="14" customFormat="1" x14ac:dyDescent="0.3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S5168" s="31"/>
      <c r="T5168" s="31"/>
    </row>
    <row r="5169" spans="1:20" s="14" customFormat="1" x14ac:dyDescent="0.3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S5169" s="31"/>
      <c r="T5169" s="31"/>
    </row>
    <row r="5170" spans="1:20" s="14" customFormat="1" x14ac:dyDescent="0.3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S5170" s="31"/>
      <c r="T5170" s="31"/>
    </row>
    <row r="5171" spans="1:20" s="14" customFormat="1" x14ac:dyDescent="0.3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S5171" s="31"/>
      <c r="T5171" s="31"/>
    </row>
    <row r="5172" spans="1:20" s="14" customFormat="1" x14ac:dyDescent="0.3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S5172" s="31"/>
      <c r="T5172" s="31"/>
    </row>
    <row r="5173" spans="1:20" s="14" customFormat="1" x14ac:dyDescent="0.3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S5173" s="31"/>
      <c r="T5173" s="31"/>
    </row>
    <row r="5174" spans="1:20" s="14" customFormat="1" x14ac:dyDescent="0.3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S5174" s="31"/>
      <c r="T5174" s="31"/>
    </row>
    <row r="5175" spans="1:20" s="14" customFormat="1" x14ac:dyDescent="0.3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S5175" s="31"/>
      <c r="T5175" s="31"/>
    </row>
    <row r="5176" spans="1:20" s="14" customFormat="1" x14ac:dyDescent="0.3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S5176" s="31"/>
      <c r="T5176" s="31"/>
    </row>
    <row r="5177" spans="1:20" s="14" customFormat="1" x14ac:dyDescent="0.3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S5177" s="31"/>
      <c r="T5177" s="31"/>
    </row>
    <row r="5178" spans="1:20" s="14" customFormat="1" x14ac:dyDescent="0.3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S5178" s="31"/>
      <c r="T5178" s="31"/>
    </row>
    <row r="5179" spans="1:20" s="14" customFormat="1" x14ac:dyDescent="0.3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S5179" s="31"/>
      <c r="T5179" s="31"/>
    </row>
    <row r="5180" spans="1:20" s="14" customFormat="1" x14ac:dyDescent="0.3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S5180" s="31"/>
      <c r="T5180" s="31"/>
    </row>
    <row r="5181" spans="1:20" s="14" customFormat="1" x14ac:dyDescent="0.3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S5181" s="31"/>
      <c r="T5181" s="31"/>
    </row>
    <row r="5182" spans="1:20" s="14" customFormat="1" x14ac:dyDescent="0.3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S5182" s="31"/>
      <c r="T5182" s="31"/>
    </row>
    <row r="5183" spans="1:20" s="14" customFormat="1" x14ac:dyDescent="0.3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S5183" s="31"/>
      <c r="T5183" s="31"/>
    </row>
    <row r="5184" spans="1:20" s="14" customFormat="1" x14ac:dyDescent="0.3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S5184" s="31"/>
      <c r="T5184" s="31"/>
    </row>
    <row r="5185" spans="1:20" s="14" customFormat="1" x14ac:dyDescent="0.3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S5185" s="31"/>
      <c r="T5185" s="31"/>
    </row>
    <row r="5186" spans="1:20" s="14" customFormat="1" x14ac:dyDescent="0.3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S5186" s="31"/>
      <c r="T5186" s="31"/>
    </row>
    <row r="5187" spans="1:20" s="14" customFormat="1" x14ac:dyDescent="0.3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S5187" s="31"/>
      <c r="T5187" s="31"/>
    </row>
    <row r="5188" spans="1:20" s="14" customFormat="1" x14ac:dyDescent="0.3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S5188" s="31"/>
      <c r="T5188" s="31"/>
    </row>
    <row r="5189" spans="1:20" s="14" customFormat="1" x14ac:dyDescent="0.3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S5189" s="31"/>
      <c r="T5189" s="31"/>
    </row>
    <row r="5190" spans="1:20" s="14" customFormat="1" x14ac:dyDescent="0.3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S5190" s="31"/>
      <c r="T5190" s="31"/>
    </row>
    <row r="5191" spans="1:20" s="14" customFormat="1" x14ac:dyDescent="0.3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S5191" s="31"/>
      <c r="T5191" s="31"/>
    </row>
    <row r="5192" spans="1:20" s="14" customFormat="1" x14ac:dyDescent="0.3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S5192" s="31"/>
      <c r="T5192" s="31"/>
    </row>
    <row r="5193" spans="1:20" s="14" customFormat="1" x14ac:dyDescent="0.3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S5193" s="31"/>
      <c r="T5193" s="31"/>
    </row>
    <row r="5194" spans="1:20" s="14" customFormat="1" x14ac:dyDescent="0.3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S5194" s="31"/>
      <c r="T5194" s="31"/>
    </row>
    <row r="5195" spans="1:20" s="14" customFormat="1" x14ac:dyDescent="0.3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S5195" s="31"/>
      <c r="T5195" s="31"/>
    </row>
    <row r="5196" spans="1:20" s="14" customFormat="1" x14ac:dyDescent="0.3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S5196" s="31"/>
      <c r="T5196" s="31"/>
    </row>
    <row r="5197" spans="1:20" s="14" customFormat="1" x14ac:dyDescent="0.3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S5197" s="31"/>
      <c r="T5197" s="31"/>
    </row>
    <row r="5198" spans="1:20" s="14" customFormat="1" x14ac:dyDescent="0.3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S5198" s="31"/>
      <c r="T5198" s="31"/>
    </row>
    <row r="5199" spans="1:20" s="14" customFormat="1" x14ac:dyDescent="0.3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S5199" s="31"/>
      <c r="T5199" s="31"/>
    </row>
    <row r="5200" spans="1:20" s="14" customFormat="1" x14ac:dyDescent="0.3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S5200" s="31"/>
      <c r="T5200" s="31"/>
    </row>
    <row r="5201" spans="1:20" s="14" customFormat="1" x14ac:dyDescent="0.3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S5201" s="31"/>
      <c r="T5201" s="31"/>
    </row>
    <row r="5202" spans="1:20" s="14" customFormat="1" x14ac:dyDescent="0.3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S5202" s="31"/>
      <c r="T5202" s="31"/>
    </row>
    <row r="5203" spans="1:20" s="14" customFormat="1" x14ac:dyDescent="0.3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S5203" s="31"/>
      <c r="T5203" s="31"/>
    </row>
    <row r="5204" spans="1:20" s="14" customFormat="1" x14ac:dyDescent="0.3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S5204" s="31"/>
      <c r="T5204" s="31"/>
    </row>
    <row r="5205" spans="1:20" s="14" customFormat="1" x14ac:dyDescent="0.3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S5205" s="31"/>
      <c r="T5205" s="31"/>
    </row>
    <row r="5206" spans="1:20" s="14" customFormat="1" x14ac:dyDescent="0.3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S5206" s="31"/>
      <c r="T5206" s="31"/>
    </row>
    <row r="5207" spans="1:20" s="14" customFormat="1" x14ac:dyDescent="0.3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S5207" s="31"/>
      <c r="T5207" s="31"/>
    </row>
    <row r="5208" spans="1:20" s="14" customFormat="1" x14ac:dyDescent="0.3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S5208" s="31"/>
      <c r="T5208" s="31"/>
    </row>
    <row r="5209" spans="1:20" s="14" customFormat="1" x14ac:dyDescent="0.3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S5209" s="31"/>
      <c r="T5209" s="31"/>
    </row>
    <row r="5210" spans="1:20" s="14" customFormat="1" x14ac:dyDescent="0.3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S5210" s="31"/>
      <c r="T5210" s="31"/>
    </row>
    <row r="5211" spans="1:20" s="14" customFormat="1" x14ac:dyDescent="0.3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S5211" s="31"/>
      <c r="T5211" s="31"/>
    </row>
    <row r="5212" spans="1:20" s="14" customFormat="1" x14ac:dyDescent="0.3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S5212" s="31"/>
      <c r="T5212" s="31"/>
    </row>
    <row r="5213" spans="1:20" s="14" customFormat="1" x14ac:dyDescent="0.3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S5213" s="31"/>
      <c r="T5213" s="31"/>
    </row>
    <row r="5214" spans="1:20" s="14" customFormat="1" x14ac:dyDescent="0.3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S5214" s="31"/>
      <c r="T5214" s="31"/>
    </row>
    <row r="5215" spans="1:20" s="14" customFormat="1" x14ac:dyDescent="0.3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S5215" s="31"/>
      <c r="T5215" s="31"/>
    </row>
    <row r="5216" spans="1:20" s="14" customFormat="1" x14ac:dyDescent="0.3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S5216" s="31"/>
      <c r="T5216" s="31"/>
    </row>
    <row r="5217" spans="1:20" s="14" customFormat="1" x14ac:dyDescent="0.3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S5217" s="31"/>
      <c r="T5217" s="31"/>
    </row>
    <row r="5218" spans="1:20" s="14" customFormat="1" x14ac:dyDescent="0.3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S5218" s="31"/>
      <c r="T5218" s="31"/>
    </row>
    <row r="5219" spans="1:20" s="14" customFormat="1" x14ac:dyDescent="0.3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S5219" s="31"/>
      <c r="T5219" s="31"/>
    </row>
    <row r="5220" spans="1:20" s="14" customFormat="1" x14ac:dyDescent="0.3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S5220" s="31"/>
      <c r="T5220" s="31"/>
    </row>
    <row r="5221" spans="1:20" s="14" customFormat="1" x14ac:dyDescent="0.3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S5221" s="31"/>
      <c r="T5221" s="31"/>
    </row>
    <row r="5222" spans="1:20" s="14" customFormat="1" x14ac:dyDescent="0.3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S5222" s="31"/>
      <c r="T5222" s="31"/>
    </row>
    <row r="5223" spans="1:20" s="14" customFormat="1" x14ac:dyDescent="0.3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S5223" s="31"/>
      <c r="T5223" s="31"/>
    </row>
    <row r="5224" spans="1:20" s="14" customFormat="1" x14ac:dyDescent="0.3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S5224" s="31"/>
      <c r="T5224" s="31"/>
    </row>
    <row r="5225" spans="1:20" s="14" customFormat="1" x14ac:dyDescent="0.3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S5225" s="31"/>
      <c r="T5225" s="31"/>
    </row>
    <row r="5226" spans="1:20" s="14" customFormat="1" x14ac:dyDescent="0.3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S5226" s="31"/>
      <c r="T5226" s="31"/>
    </row>
    <row r="5227" spans="1:20" s="14" customFormat="1" x14ac:dyDescent="0.3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S5227" s="31"/>
      <c r="T5227" s="31"/>
    </row>
    <row r="5228" spans="1:20" s="14" customFormat="1" x14ac:dyDescent="0.3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S5228" s="31"/>
      <c r="T5228" s="31"/>
    </row>
    <row r="5229" spans="1:20" s="14" customFormat="1" x14ac:dyDescent="0.3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S5229" s="31"/>
      <c r="T5229" s="31"/>
    </row>
    <row r="5230" spans="1:20" s="14" customFormat="1" x14ac:dyDescent="0.3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S5230" s="31"/>
      <c r="T5230" s="31"/>
    </row>
    <row r="5231" spans="1:20" s="14" customFormat="1" x14ac:dyDescent="0.3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S5231" s="31"/>
      <c r="T5231" s="31"/>
    </row>
    <row r="5232" spans="1:20" s="14" customFormat="1" x14ac:dyDescent="0.3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S5232" s="31"/>
      <c r="T5232" s="31"/>
    </row>
    <row r="5233" spans="1:20" s="14" customFormat="1" x14ac:dyDescent="0.3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S5233" s="31"/>
      <c r="T5233" s="31"/>
    </row>
    <row r="5234" spans="1:20" s="14" customFormat="1" x14ac:dyDescent="0.3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S5234" s="31"/>
      <c r="T5234" s="31"/>
    </row>
    <row r="5235" spans="1:20" s="14" customFormat="1" x14ac:dyDescent="0.3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S5235" s="31"/>
      <c r="T5235" s="31"/>
    </row>
    <row r="5236" spans="1:20" s="14" customFormat="1" x14ac:dyDescent="0.3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S5236" s="31"/>
      <c r="T5236" s="31"/>
    </row>
    <row r="5237" spans="1:20" s="14" customFormat="1" x14ac:dyDescent="0.3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S5237" s="31"/>
      <c r="T5237" s="31"/>
    </row>
    <row r="5238" spans="1:20" s="14" customFormat="1" x14ac:dyDescent="0.3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S5238" s="31"/>
      <c r="T5238" s="31"/>
    </row>
    <row r="5239" spans="1:20" s="14" customFormat="1" x14ac:dyDescent="0.3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S5239" s="31"/>
      <c r="T5239" s="31"/>
    </row>
    <row r="5240" spans="1:20" s="14" customFormat="1" x14ac:dyDescent="0.3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S5240" s="31"/>
      <c r="T5240" s="31"/>
    </row>
    <row r="5241" spans="1:20" s="14" customFormat="1" x14ac:dyDescent="0.3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S5241" s="31"/>
      <c r="T5241" s="31"/>
    </row>
    <row r="5242" spans="1:20" s="14" customFormat="1" x14ac:dyDescent="0.3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S5242" s="31"/>
      <c r="T5242" s="31"/>
    </row>
    <row r="5243" spans="1:20" s="14" customFormat="1" x14ac:dyDescent="0.3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S5243" s="31"/>
      <c r="T5243" s="31"/>
    </row>
    <row r="5244" spans="1:20" s="14" customFormat="1" x14ac:dyDescent="0.3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S5244" s="31"/>
      <c r="T5244" s="31"/>
    </row>
    <row r="5245" spans="1:20" s="14" customFormat="1" x14ac:dyDescent="0.3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S5245" s="31"/>
      <c r="T5245" s="31"/>
    </row>
    <row r="5246" spans="1:20" s="14" customFormat="1" x14ac:dyDescent="0.3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S5246" s="31"/>
      <c r="T5246" s="31"/>
    </row>
    <row r="5247" spans="1:20" s="14" customFormat="1" x14ac:dyDescent="0.3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S5247" s="31"/>
      <c r="T5247" s="31"/>
    </row>
    <row r="5248" spans="1:20" s="14" customFormat="1" x14ac:dyDescent="0.3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S5248" s="31"/>
      <c r="T5248" s="31"/>
    </row>
    <row r="5249" spans="1:20" s="14" customFormat="1" x14ac:dyDescent="0.3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S5249" s="31"/>
      <c r="T5249" s="31"/>
    </row>
    <row r="5250" spans="1:20" s="14" customFormat="1" x14ac:dyDescent="0.3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S5250" s="31"/>
      <c r="T5250" s="31"/>
    </row>
    <row r="5251" spans="1:20" s="14" customFormat="1" x14ac:dyDescent="0.3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S5251" s="31"/>
      <c r="T5251" s="31"/>
    </row>
    <row r="5252" spans="1:20" s="14" customFormat="1" x14ac:dyDescent="0.3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S5252" s="31"/>
      <c r="T5252" s="31"/>
    </row>
    <row r="5253" spans="1:20" s="14" customFormat="1" x14ac:dyDescent="0.3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S5253" s="31"/>
      <c r="T5253" s="31"/>
    </row>
    <row r="5254" spans="1:20" s="14" customFormat="1" x14ac:dyDescent="0.3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S5254" s="31"/>
      <c r="T5254" s="31"/>
    </row>
    <row r="5255" spans="1:20" s="14" customFormat="1" x14ac:dyDescent="0.3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S5255" s="31"/>
      <c r="T5255" s="31"/>
    </row>
    <row r="5256" spans="1:20" s="14" customFormat="1" x14ac:dyDescent="0.3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S5256" s="31"/>
      <c r="T5256" s="31"/>
    </row>
    <row r="5257" spans="1:20" s="14" customFormat="1" x14ac:dyDescent="0.3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S5257" s="31"/>
      <c r="T5257" s="31"/>
    </row>
    <row r="5258" spans="1:20" s="14" customFormat="1" x14ac:dyDescent="0.3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S5258" s="31"/>
      <c r="T5258" s="31"/>
    </row>
    <row r="5259" spans="1:20" s="14" customFormat="1" x14ac:dyDescent="0.3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S5259" s="31"/>
      <c r="T5259" s="31"/>
    </row>
    <row r="5260" spans="1:20" s="14" customFormat="1" x14ac:dyDescent="0.3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S5260" s="31"/>
      <c r="T5260" s="31"/>
    </row>
    <row r="5261" spans="1:20" s="14" customFormat="1" x14ac:dyDescent="0.3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S5261" s="31"/>
      <c r="T5261" s="31"/>
    </row>
    <row r="5262" spans="1:20" s="14" customFormat="1" x14ac:dyDescent="0.3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S5262" s="31"/>
      <c r="T5262" s="31"/>
    </row>
    <row r="5263" spans="1:20" s="14" customFormat="1" x14ac:dyDescent="0.3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S5263" s="31"/>
      <c r="T5263" s="31"/>
    </row>
    <row r="5264" spans="1:20" s="14" customFormat="1" x14ac:dyDescent="0.3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S5264" s="31"/>
      <c r="T5264" s="31"/>
    </row>
    <row r="5265" spans="1:20" s="14" customFormat="1" x14ac:dyDescent="0.3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S5265" s="31"/>
      <c r="T5265" s="31"/>
    </row>
    <row r="5266" spans="1:20" s="14" customFormat="1" x14ac:dyDescent="0.3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S5266" s="31"/>
      <c r="T5266" s="31"/>
    </row>
    <row r="5267" spans="1:20" s="14" customFormat="1" x14ac:dyDescent="0.3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S5267" s="31"/>
      <c r="T5267" s="31"/>
    </row>
    <row r="5268" spans="1:20" s="14" customFormat="1" x14ac:dyDescent="0.3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S5268" s="31"/>
      <c r="T5268" s="31"/>
    </row>
    <row r="5269" spans="1:20" s="14" customFormat="1" x14ac:dyDescent="0.3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S5269" s="31"/>
      <c r="T5269" s="31"/>
    </row>
    <row r="5270" spans="1:20" s="14" customFormat="1" x14ac:dyDescent="0.3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S5270" s="31"/>
      <c r="T5270" s="31"/>
    </row>
    <row r="5271" spans="1:20" s="14" customFormat="1" x14ac:dyDescent="0.3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S5271" s="31"/>
      <c r="T5271" s="31"/>
    </row>
    <row r="5272" spans="1:20" s="14" customFormat="1" x14ac:dyDescent="0.3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S5272" s="31"/>
      <c r="T5272" s="31"/>
    </row>
    <row r="5273" spans="1:20" s="14" customFormat="1" x14ac:dyDescent="0.3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S5273" s="31"/>
      <c r="T5273" s="31"/>
    </row>
    <row r="5274" spans="1:20" s="14" customFormat="1" x14ac:dyDescent="0.3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S5274" s="31"/>
      <c r="T5274" s="31"/>
    </row>
    <row r="5275" spans="1:20" s="14" customFormat="1" x14ac:dyDescent="0.3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S5275" s="31"/>
      <c r="T5275" s="31"/>
    </row>
    <row r="5276" spans="1:20" s="14" customFormat="1" x14ac:dyDescent="0.3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S5276" s="31"/>
      <c r="T5276" s="31"/>
    </row>
    <row r="5277" spans="1:20" s="14" customFormat="1" x14ac:dyDescent="0.3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S5277" s="31"/>
      <c r="T5277" s="31"/>
    </row>
    <row r="5278" spans="1:20" s="14" customFormat="1" x14ac:dyDescent="0.3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S5278" s="31"/>
      <c r="T5278" s="31"/>
    </row>
    <row r="5279" spans="1:20" s="14" customFormat="1" x14ac:dyDescent="0.3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S5279" s="31"/>
      <c r="T5279" s="31"/>
    </row>
    <row r="5280" spans="1:20" s="14" customFormat="1" x14ac:dyDescent="0.3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S5280" s="31"/>
      <c r="T5280" s="31"/>
    </row>
    <row r="5281" spans="1:20" s="14" customFormat="1" x14ac:dyDescent="0.3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S5281" s="31"/>
      <c r="T5281" s="31"/>
    </row>
    <row r="5282" spans="1:20" s="14" customFormat="1" x14ac:dyDescent="0.3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S5282" s="31"/>
      <c r="T5282" s="31"/>
    </row>
    <row r="5283" spans="1:20" s="14" customFormat="1" x14ac:dyDescent="0.3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S5283" s="31"/>
      <c r="T5283" s="31"/>
    </row>
    <row r="5284" spans="1:20" s="14" customFormat="1" x14ac:dyDescent="0.3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S5284" s="31"/>
      <c r="T5284" s="31"/>
    </row>
    <row r="5285" spans="1:20" s="14" customFormat="1" x14ac:dyDescent="0.3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S5285" s="31"/>
      <c r="T5285" s="31"/>
    </row>
    <row r="5286" spans="1:20" s="14" customFormat="1" x14ac:dyDescent="0.3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S5286" s="31"/>
      <c r="T5286" s="31"/>
    </row>
    <row r="5287" spans="1:20" s="14" customFormat="1" x14ac:dyDescent="0.3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S5287" s="31"/>
      <c r="T5287" s="31"/>
    </row>
    <row r="5288" spans="1:20" s="14" customFormat="1" x14ac:dyDescent="0.3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S5288" s="31"/>
      <c r="T5288" s="31"/>
    </row>
    <row r="5289" spans="1:20" s="14" customFormat="1" x14ac:dyDescent="0.3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S5289" s="31"/>
      <c r="T5289" s="31"/>
    </row>
    <row r="5290" spans="1:20" s="14" customFormat="1" x14ac:dyDescent="0.3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S5290" s="31"/>
      <c r="T5290" s="31"/>
    </row>
    <row r="5291" spans="1:20" s="14" customFormat="1" x14ac:dyDescent="0.3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S5291" s="31"/>
      <c r="T5291" s="31"/>
    </row>
    <row r="5292" spans="1:20" s="14" customFormat="1" x14ac:dyDescent="0.3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S5292" s="31"/>
      <c r="T5292" s="31"/>
    </row>
    <row r="5293" spans="1:20" s="14" customFormat="1" x14ac:dyDescent="0.3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S5293" s="31"/>
      <c r="T5293" s="31"/>
    </row>
    <row r="5294" spans="1:20" s="14" customFormat="1" x14ac:dyDescent="0.3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S5294" s="31"/>
      <c r="T5294" s="31"/>
    </row>
    <row r="5295" spans="1:20" s="14" customFormat="1" x14ac:dyDescent="0.3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S5295" s="31"/>
      <c r="T5295" s="31"/>
    </row>
    <row r="5296" spans="1:20" s="14" customFormat="1" x14ac:dyDescent="0.3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S5296" s="31"/>
      <c r="T5296" s="31"/>
    </row>
    <row r="5297" spans="1:20" s="14" customFormat="1" x14ac:dyDescent="0.3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S5297" s="31"/>
      <c r="T5297" s="31"/>
    </row>
    <row r="5298" spans="1:20" s="14" customFormat="1" x14ac:dyDescent="0.3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S5298" s="31"/>
      <c r="T5298" s="31"/>
    </row>
    <row r="5299" spans="1:20" s="14" customFormat="1" x14ac:dyDescent="0.3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S5299" s="31"/>
      <c r="T5299" s="31"/>
    </row>
    <row r="5300" spans="1:20" s="14" customFormat="1" x14ac:dyDescent="0.3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S5300" s="31"/>
      <c r="T5300" s="31"/>
    </row>
    <row r="5301" spans="1:20" s="14" customFormat="1" x14ac:dyDescent="0.3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S5301" s="31"/>
      <c r="T5301" s="31"/>
    </row>
    <row r="5302" spans="1:20" s="14" customFormat="1" x14ac:dyDescent="0.3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S5302" s="31"/>
      <c r="T5302" s="31"/>
    </row>
    <row r="5303" spans="1:20" s="14" customFormat="1" x14ac:dyDescent="0.3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S5303" s="31"/>
      <c r="T5303" s="31"/>
    </row>
    <row r="5304" spans="1:20" s="14" customFormat="1" x14ac:dyDescent="0.3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S5304" s="31"/>
      <c r="T5304" s="31"/>
    </row>
    <row r="5305" spans="1:20" s="14" customFormat="1" x14ac:dyDescent="0.3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S5305" s="31"/>
      <c r="T5305" s="31"/>
    </row>
    <row r="5306" spans="1:20" s="14" customFormat="1" x14ac:dyDescent="0.3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S5306" s="31"/>
      <c r="T5306" s="31"/>
    </row>
    <row r="5307" spans="1:20" s="14" customFormat="1" x14ac:dyDescent="0.3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S5307" s="31"/>
      <c r="T5307" s="31"/>
    </row>
  </sheetData>
  <mergeCells count="2392">
    <mergeCell ref="S105:S110"/>
    <mergeCell ref="S99:S104"/>
    <mergeCell ref="S93:S98"/>
    <mergeCell ref="S87:S92"/>
    <mergeCell ref="S75:S80"/>
    <mergeCell ref="S63:S68"/>
    <mergeCell ref="S51:S56"/>
    <mergeCell ref="S45:S50"/>
    <mergeCell ref="S39:S44"/>
    <mergeCell ref="O1:Q1"/>
    <mergeCell ref="O2:Q2"/>
    <mergeCell ref="S219:S224"/>
    <mergeCell ref="S213:S218"/>
    <mergeCell ref="S207:S212"/>
    <mergeCell ref="S201:S206"/>
    <mergeCell ref="S195:S200"/>
    <mergeCell ref="S189:S194"/>
    <mergeCell ref="S183:S188"/>
    <mergeCell ref="S177:S182"/>
    <mergeCell ref="S171:S176"/>
    <mergeCell ref="S165:S170"/>
    <mergeCell ref="S159:S164"/>
    <mergeCell ref="S147:S152"/>
    <mergeCell ref="S141:S146"/>
    <mergeCell ref="S135:S140"/>
    <mergeCell ref="S129:S134"/>
    <mergeCell ref="S117:S122"/>
    <mergeCell ref="S111:S116"/>
    <mergeCell ref="S401:S406"/>
    <mergeCell ref="S395:S400"/>
    <mergeCell ref="S389:S394"/>
    <mergeCell ref="S365:S366"/>
    <mergeCell ref="S347:S352"/>
    <mergeCell ref="S341:S346"/>
    <mergeCell ref="S335:S340"/>
    <mergeCell ref="S323:S328"/>
    <mergeCell ref="S317:S322"/>
    <mergeCell ref="S288:S290"/>
    <mergeCell ref="S285:S287"/>
    <mergeCell ref="S279:S284"/>
    <mergeCell ref="S267:S272"/>
    <mergeCell ref="S260:S266"/>
    <mergeCell ref="S237:S242"/>
    <mergeCell ref="S230:S236"/>
    <mergeCell ref="S225:S229"/>
    <mergeCell ref="S527:S528"/>
    <mergeCell ref="S521:S526"/>
    <mergeCell ref="S515:S520"/>
    <mergeCell ref="S509:S514"/>
    <mergeCell ref="S497:S502"/>
    <mergeCell ref="S491:S496"/>
    <mergeCell ref="S485:S490"/>
    <mergeCell ref="S479:S484"/>
    <mergeCell ref="S473:S478"/>
    <mergeCell ref="S467:S472"/>
    <mergeCell ref="S461:S466"/>
    <mergeCell ref="S455:S460"/>
    <mergeCell ref="S443:S448"/>
    <mergeCell ref="S437:S442"/>
    <mergeCell ref="S425:S430"/>
    <mergeCell ref="S413:S418"/>
    <mergeCell ref="S407:S412"/>
    <mergeCell ref="S681:S686"/>
    <mergeCell ref="S675:S680"/>
    <mergeCell ref="S669:S674"/>
    <mergeCell ref="S663:S668"/>
    <mergeCell ref="S657:S662"/>
    <mergeCell ref="S633:S638"/>
    <mergeCell ref="S615:S620"/>
    <mergeCell ref="S609:S614"/>
    <mergeCell ref="S603:S608"/>
    <mergeCell ref="S597:S602"/>
    <mergeCell ref="S591:S596"/>
    <mergeCell ref="S585:S590"/>
    <mergeCell ref="S551:S556"/>
    <mergeCell ref="S545:S550"/>
    <mergeCell ref="S539:S544"/>
    <mergeCell ref="S533:S538"/>
    <mergeCell ref="S529:S530"/>
    <mergeCell ref="S883:S888"/>
    <mergeCell ref="S787:S788"/>
    <mergeCell ref="S785:S786"/>
    <mergeCell ref="S779:S784"/>
    <mergeCell ref="S773:S778"/>
    <mergeCell ref="S767:S768"/>
    <mergeCell ref="S761:S766"/>
    <mergeCell ref="S755:S760"/>
    <mergeCell ref="S749:S754"/>
    <mergeCell ref="S743:S748"/>
    <mergeCell ref="S737:S742"/>
    <mergeCell ref="S731:S736"/>
    <mergeCell ref="S725:S730"/>
    <mergeCell ref="S705:S710"/>
    <mergeCell ref="S699:S704"/>
    <mergeCell ref="S693:S698"/>
    <mergeCell ref="S687:S692"/>
    <mergeCell ref="S329:S333"/>
    <mergeCell ref="N330:O333"/>
    <mergeCell ref="P503:P507"/>
    <mergeCell ref="N848:O851"/>
    <mergeCell ref="N329:O329"/>
    <mergeCell ref="P329:P333"/>
    <mergeCell ref="Q329:Q333"/>
    <mergeCell ref="K407:K412"/>
    <mergeCell ref="L407:L412"/>
    <mergeCell ref="P407:P412"/>
    <mergeCell ref="Q407:Q412"/>
    <mergeCell ref="D515:D520"/>
    <mergeCell ref="J335:J340"/>
    <mergeCell ref="N551:O555"/>
    <mergeCell ref="N556:O556"/>
    <mergeCell ref="A705:A710"/>
    <mergeCell ref="B705:B710"/>
    <mergeCell ref="C705:C710"/>
    <mergeCell ref="D705:D710"/>
    <mergeCell ref="E705:E710"/>
    <mergeCell ref="F705:F710"/>
    <mergeCell ref="G705:G710"/>
    <mergeCell ref="H705:H710"/>
    <mergeCell ref="I705:I710"/>
    <mergeCell ref="J705:J710"/>
    <mergeCell ref="K705:K710"/>
    <mergeCell ref="L705:L710"/>
    <mergeCell ref="K675:K680"/>
    <mergeCell ref="L675:L680"/>
    <mergeCell ref="L473:L478"/>
    <mergeCell ref="P467:P472"/>
    <mergeCell ref="A551:A556"/>
    <mergeCell ref="O341:P346"/>
    <mergeCell ref="P371:P376"/>
    <mergeCell ref="N371:O375"/>
    <mergeCell ref="N662:O662"/>
    <mergeCell ref="N668:O668"/>
    <mergeCell ref="C551:C556"/>
    <mergeCell ref="D551:D556"/>
    <mergeCell ref="E551:E556"/>
    <mergeCell ref="F551:F556"/>
    <mergeCell ref="G551:G556"/>
    <mergeCell ref="H551:H556"/>
    <mergeCell ref="I551:I556"/>
    <mergeCell ref="J551:J556"/>
    <mergeCell ref="K551:K556"/>
    <mergeCell ref="L551:L556"/>
    <mergeCell ref="A515:A520"/>
    <mergeCell ref="B515:B520"/>
    <mergeCell ref="C515:C520"/>
    <mergeCell ref="F437:F442"/>
    <mergeCell ref="N508:O508"/>
    <mergeCell ref="N503:O503"/>
    <mergeCell ref="N644:O644"/>
    <mergeCell ref="P545:P550"/>
    <mergeCell ref="N621:O625"/>
    <mergeCell ref="N471:O472"/>
    <mergeCell ref="N473:P477"/>
    <mergeCell ref="N448:O448"/>
    <mergeCell ref="N454:O454"/>
    <mergeCell ref="N460:O460"/>
    <mergeCell ref="N466:O466"/>
    <mergeCell ref="N603:O607"/>
    <mergeCell ref="A711:A716"/>
    <mergeCell ref="B711:B716"/>
    <mergeCell ref="C711:C716"/>
    <mergeCell ref="D711:D716"/>
    <mergeCell ref="E711:E716"/>
    <mergeCell ref="F711:F716"/>
    <mergeCell ref="G711:G716"/>
    <mergeCell ref="Q551:Q556"/>
    <mergeCell ref="N470:O470"/>
    <mergeCell ref="J485:J490"/>
    <mergeCell ref="I485:I490"/>
    <mergeCell ref="Q455:Q460"/>
    <mergeCell ref="Q545:Q550"/>
    <mergeCell ref="F443:F448"/>
    <mergeCell ref="G443:G448"/>
    <mergeCell ref="H443:H448"/>
    <mergeCell ref="I443:I448"/>
    <mergeCell ref="J443:J448"/>
    <mergeCell ref="N502:O502"/>
    <mergeCell ref="P497:P502"/>
    <mergeCell ref="H515:H520"/>
    <mergeCell ref="I515:I520"/>
    <mergeCell ref="J515:J520"/>
    <mergeCell ref="K515:K520"/>
    <mergeCell ref="L515:L520"/>
    <mergeCell ref="L443:L448"/>
    <mergeCell ref="Q443:Q448"/>
    <mergeCell ref="B551:B556"/>
    <mergeCell ref="G767:G772"/>
    <mergeCell ref="P705:P710"/>
    <mergeCell ref="Q705:Q710"/>
    <mergeCell ref="H711:H712"/>
    <mergeCell ref="I711:I712"/>
    <mergeCell ref="J711:J712"/>
    <mergeCell ref="K711:K712"/>
    <mergeCell ref="L711:L712"/>
    <mergeCell ref="I715:I716"/>
    <mergeCell ref="J715:J716"/>
    <mergeCell ref="K715:K716"/>
    <mergeCell ref="L715:L716"/>
    <mergeCell ref="N716:O716"/>
    <mergeCell ref="L755:L760"/>
    <mergeCell ref="K669:K674"/>
    <mergeCell ref="L669:L674"/>
    <mergeCell ref="K687:K692"/>
    <mergeCell ref="L687:L692"/>
    <mergeCell ref="K681:K686"/>
    <mergeCell ref="L681:L686"/>
    <mergeCell ref="Q681:Q686"/>
    <mergeCell ref="H749:H754"/>
    <mergeCell ref="I749:I754"/>
    <mergeCell ref="J749:J754"/>
    <mergeCell ref="K749:K754"/>
    <mergeCell ref="L749:L754"/>
    <mergeCell ref="A761:A766"/>
    <mergeCell ref="B761:B766"/>
    <mergeCell ref="C761:C766"/>
    <mergeCell ref="D761:D766"/>
    <mergeCell ref="E761:E766"/>
    <mergeCell ref="F761:F766"/>
    <mergeCell ref="G761:G766"/>
    <mergeCell ref="H761:H766"/>
    <mergeCell ref="I761:I766"/>
    <mergeCell ref="H509:H514"/>
    <mergeCell ref="I509:I514"/>
    <mergeCell ref="N383:O387"/>
    <mergeCell ref="Q365:Q370"/>
    <mergeCell ref="J503:J508"/>
    <mergeCell ref="K401:K406"/>
    <mergeCell ref="L401:L406"/>
    <mergeCell ref="K389:K394"/>
    <mergeCell ref="L389:L394"/>
    <mergeCell ref="N692:O692"/>
    <mergeCell ref="N698:O698"/>
    <mergeCell ref="Q377:Q382"/>
    <mergeCell ref="Q383:Q388"/>
    <mergeCell ref="Q389:Q394"/>
    <mergeCell ref="P565:P573"/>
    <mergeCell ref="Q419:Q424"/>
    <mergeCell ref="H371:H376"/>
    <mergeCell ref="J371:J376"/>
    <mergeCell ref="K473:K478"/>
    <mergeCell ref="B755:B760"/>
    <mergeCell ref="C755:C760"/>
    <mergeCell ref="D755:D760"/>
    <mergeCell ref="P551:P556"/>
    <mergeCell ref="N128:P128"/>
    <mergeCell ref="N894:P894"/>
    <mergeCell ref="N815:O819"/>
    <mergeCell ref="P687:P691"/>
    <mergeCell ref="P693:P697"/>
    <mergeCell ref="P779:P784"/>
    <mergeCell ref="N821:O825"/>
    <mergeCell ref="N826:O826"/>
    <mergeCell ref="N206:O206"/>
    <mergeCell ref="N212:O212"/>
    <mergeCell ref="N213:O217"/>
    <mergeCell ref="N218:O218"/>
    <mergeCell ref="N224:O224"/>
    <mergeCell ref="N235:O236"/>
    <mergeCell ref="N242:O242"/>
    <mergeCell ref="N248:O248"/>
    <mergeCell ref="N254:O254"/>
    <mergeCell ref="O258:O260"/>
    <mergeCell ref="P255:P272"/>
    <mergeCell ref="N478:P478"/>
    <mergeCell ref="N480:O483"/>
    <mergeCell ref="N484:O484"/>
    <mergeCell ref="O419:P424"/>
    <mergeCell ref="O425:P430"/>
    <mergeCell ref="N270:O272"/>
    <mergeCell ref="N278:O278"/>
    <mergeCell ref="N279:P283"/>
    <mergeCell ref="P437:P442"/>
    <mergeCell ref="N586:O589"/>
    <mergeCell ref="N650:O650"/>
    <mergeCell ref="N656:O656"/>
    <mergeCell ref="N597:O601"/>
    <mergeCell ref="Q291:Q297"/>
    <mergeCell ref="N129:P133"/>
    <mergeCell ref="N134:P134"/>
    <mergeCell ref="N135:P139"/>
    <mergeCell ref="N140:P140"/>
    <mergeCell ref="N147:P151"/>
    <mergeCell ref="N152:P152"/>
    <mergeCell ref="N153:P157"/>
    <mergeCell ref="N158:P158"/>
    <mergeCell ref="N159:P163"/>
    <mergeCell ref="N164:P164"/>
    <mergeCell ref="N165:P169"/>
    <mergeCell ref="N170:P170"/>
    <mergeCell ref="N171:P175"/>
    <mergeCell ref="N176:P176"/>
    <mergeCell ref="N177:P181"/>
    <mergeCell ref="N284:P284"/>
    <mergeCell ref="N285:O289"/>
    <mergeCell ref="O225:O226"/>
    <mergeCell ref="O227:O228"/>
    <mergeCell ref="Q189:Q194"/>
    <mergeCell ref="P335:P340"/>
    <mergeCell ref="N888:O888"/>
    <mergeCell ref="N889:P893"/>
    <mergeCell ref="P883:P888"/>
    <mergeCell ref="N290:O290"/>
    <mergeCell ref="O359:P364"/>
    <mergeCell ref="O353:P358"/>
    <mergeCell ref="Q767:Q772"/>
    <mergeCell ref="P731:P736"/>
    <mergeCell ref="Q255:Q272"/>
    <mergeCell ref="P699:P704"/>
    <mergeCell ref="Q323:Q328"/>
    <mergeCell ref="Q335:Q340"/>
    <mergeCell ref="Q341:Q346"/>
    <mergeCell ref="Q347:Q352"/>
    <mergeCell ref="Q353:Q358"/>
    <mergeCell ref="P377:P382"/>
    <mergeCell ref="A564:Q564"/>
    <mergeCell ref="N602:O602"/>
    <mergeCell ref="Q871:Q876"/>
    <mergeCell ref="Q877:Q882"/>
    <mergeCell ref="Q883:Q888"/>
    <mergeCell ref="Q889:Q894"/>
    <mergeCell ref="Q693:Q698"/>
    <mergeCell ref="Q699:Q704"/>
    <mergeCell ref="Q717:Q723"/>
    <mergeCell ref="Q603:Q608"/>
    <mergeCell ref="Q609:Q614"/>
    <mergeCell ref="Q615:Q620"/>
    <mergeCell ref="Q621:Q626"/>
    <mergeCell ref="Q627:Q632"/>
    <mergeCell ref="P663:P668"/>
    <mergeCell ref="Q663:Q668"/>
    <mergeCell ref="Q669:Q674"/>
    <mergeCell ref="Q675:Q680"/>
    <mergeCell ref="Q687:Q692"/>
    <mergeCell ref="Q725:Q730"/>
    <mergeCell ref="Q731:Q736"/>
    <mergeCell ref="Q773:Q778"/>
    <mergeCell ref="P711:P716"/>
    <mergeCell ref="Q711:Q716"/>
    <mergeCell ref="P675:P680"/>
    <mergeCell ref="P639:P644"/>
    <mergeCell ref="P877:P882"/>
    <mergeCell ref="N827:P831"/>
    <mergeCell ref="N832:P832"/>
    <mergeCell ref="P657:P662"/>
    <mergeCell ref="N771:O771"/>
    <mergeCell ref="N674:O674"/>
    <mergeCell ref="N704:O704"/>
    <mergeCell ref="P743:P748"/>
    <mergeCell ref="B914:I920"/>
    <mergeCell ref="K437:K442"/>
    <mergeCell ref="L437:L442"/>
    <mergeCell ref="Q230:Q236"/>
    <mergeCell ref="Q237:Q242"/>
    <mergeCell ref="Q243:Q248"/>
    <mergeCell ref="Q249:Q254"/>
    <mergeCell ref="P557:P563"/>
    <mergeCell ref="Q503:Q508"/>
    <mergeCell ref="Q557:Q563"/>
    <mergeCell ref="N486:O486"/>
    <mergeCell ref="N485:O485"/>
    <mergeCell ref="P299:P304"/>
    <mergeCell ref="Q461:Q466"/>
    <mergeCell ref="Q467:Q472"/>
    <mergeCell ref="Q473:Q478"/>
    <mergeCell ref="Q479:Q484"/>
    <mergeCell ref="Q485:Q490"/>
    <mergeCell ref="Q491:Q496"/>
    <mergeCell ref="Q497:Q502"/>
    <mergeCell ref="Q311:Q316"/>
    <mergeCell ref="Q317:Q322"/>
    <mergeCell ref="Q914:Q920"/>
    <mergeCell ref="Q371:Q376"/>
    <mergeCell ref="P901:P906"/>
    <mergeCell ref="H770:H772"/>
    <mergeCell ref="Q841:Q846"/>
    <mergeCell ref="Q847:Q852"/>
    <mergeCell ref="G335:G340"/>
    <mergeCell ref="I335:I340"/>
    <mergeCell ref="Q859:Q864"/>
    <mergeCell ref="Q865:Q870"/>
    <mergeCell ref="I865:I870"/>
    <mergeCell ref="J865:J870"/>
    <mergeCell ref="B291:I297"/>
    <mergeCell ref="P347:P352"/>
    <mergeCell ref="J853:J858"/>
    <mergeCell ref="I853:I858"/>
    <mergeCell ref="Q803:Q808"/>
    <mergeCell ref="Q809:Q814"/>
    <mergeCell ref="I791:I796"/>
    <mergeCell ref="J791:J796"/>
    <mergeCell ref="K767:K772"/>
    <mergeCell ref="L767:L772"/>
    <mergeCell ref="C773:C778"/>
    <mergeCell ref="D773:D778"/>
    <mergeCell ref="E773:E778"/>
    <mergeCell ref="F773:F778"/>
    <mergeCell ref="G773:G778"/>
    <mergeCell ref="K827:K832"/>
    <mergeCell ref="L827:L832"/>
    <mergeCell ref="P773:P778"/>
    <mergeCell ref="P717:P723"/>
    <mergeCell ref="P767:P772"/>
    <mergeCell ref="P755:P760"/>
    <mergeCell ref="P725:P730"/>
    <mergeCell ref="P291:P297"/>
    <mergeCell ref="B853:B858"/>
    <mergeCell ref="G853:G858"/>
    <mergeCell ref="H853:H858"/>
    <mergeCell ref="N773:O777"/>
    <mergeCell ref="F749:F754"/>
    <mergeCell ref="Q785:Q790"/>
    <mergeCell ref="D779:D784"/>
    <mergeCell ref="P914:P920"/>
    <mergeCell ref="J509:J514"/>
    <mergeCell ref="K509:K514"/>
    <mergeCell ref="L509:L514"/>
    <mergeCell ref="N883:O887"/>
    <mergeCell ref="E779:E784"/>
    <mergeCell ref="F779:F784"/>
    <mergeCell ref="G779:G784"/>
    <mergeCell ref="H779:H784"/>
    <mergeCell ref="I779:I784"/>
    <mergeCell ref="J779:J784"/>
    <mergeCell ref="D767:D772"/>
    <mergeCell ref="E767:E772"/>
    <mergeCell ref="F767:F772"/>
    <mergeCell ref="P645:P650"/>
    <mergeCell ref="J907:J913"/>
    <mergeCell ref="K907:K913"/>
    <mergeCell ref="L907:L913"/>
    <mergeCell ref="J841:J842"/>
    <mergeCell ref="J843:J844"/>
    <mergeCell ref="A840:Q840"/>
    <mergeCell ref="B907:I913"/>
    <mergeCell ref="F865:F870"/>
    <mergeCell ref="G865:G870"/>
    <mergeCell ref="Q895:Q900"/>
    <mergeCell ref="N638:O638"/>
    <mergeCell ref="Q853:Q858"/>
    <mergeCell ref="Q779:Q784"/>
    <mergeCell ref="H847:H852"/>
    <mergeCell ref="A755:A760"/>
    <mergeCell ref="I821:I826"/>
    <mergeCell ref="J821:J826"/>
    <mergeCell ref="Q901:Q906"/>
    <mergeCell ref="P633:P638"/>
    <mergeCell ref="B779:B784"/>
    <mergeCell ref="H260:H266"/>
    <mergeCell ref="J717:J723"/>
    <mergeCell ref="K717:K723"/>
    <mergeCell ref="L717:L723"/>
    <mergeCell ref="P443:P448"/>
    <mergeCell ref="P449:P454"/>
    <mergeCell ref="P461:P466"/>
    <mergeCell ref="P455:P460"/>
    <mergeCell ref="E755:E760"/>
    <mergeCell ref="F755:F760"/>
    <mergeCell ref="G755:G760"/>
    <mergeCell ref="I347:I352"/>
    <mergeCell ref="A335:A340"/>
    <mergeCell ref="B335:B340"/>
    <mergeCell ref="H755:H760"/>
    <mergeCell ref="I755:I760"/>
    <mergeCell ref="A743:A748"/>
    <mergeCell ref="B743:B748"/>
    <mergeCell ref="C743:C748"/>
    <mergeCell ref="D743:D748"/>
    <mergeCell ref="E743:E748"/>
    <mergeCell ref="F743:F748"/>
    <mergeCell ref="G743:G748"/>
    <mergeCell ref="H743:H748"/>
    <mergeCell ref="B557:I563"/>
    <mergeCell ref="B717:I723"/>
    <mergeCell ref="I743:I748"/>
    <mergeCell ref="A737:A742"/>
    <mergeCell ref="A443:A448"/>
    <mergeCell ref="C895:C900"/>
    <mergeCell ref="D895:D900"/>
    <mergeCell ref="E895:E900"/>
    <mergeCell ref="F895:F900"/>
    <mergeCell ref="G895:G900"/>
    <mergeCell ref="H895:H900"/>
    <mergeCell ref="E865:E870"/>
    <mergeCell ref="C877:C882"/>
    <mergeCell ref="L901:L906"/>
    <mergeCell ref="D883:D888"/>
    <mergeCell ref="I260:I266"/>
    <mergeCell ref="J260:J266"/>
    <mergeCell ref="A509:A514"/>
    <mergeCell ref="K865:K870"/>
    <mergeCell ref="F877:F882"/>
    <mergeCell ref="G877:G882"/>
    <mergeCell ref="H877:H878"/>
    <mergeCell ref="H879:H882"/>
    <mergeCell ref="J877:J878"/>
    <mergeCell ref="J879:J882"/>
    <mergeCell ref="I877:I882"/>
    <mergeCell ref="K883:K888"/>
    <mergeCell ref="E827:E832"/>
    <mergeCell ref="F827:F832"/>
    <mergeCell ref="G827:G832"/>
    <mergeCell ref="J827:J832"/>
    <mergeCell ref="H827:H832"/>
    <mergeCell ref="I827:I832"/>
    <mergeCell ref="J767:J769"/>
    <mergeCell ref="K755:K760"/>
    <mergeCell ref="A749:A754"/>
    <mergeCell ref="A853:A858"/>
    <mergeCell ref="A779:A784"/>
    <mergeCell ref="E853:E858"/>
    <mergeCell ref="F853:F858"/>
    <mergeCell ref="C853:C858"/>
    <mergeCell ref="N853:P858"/>
    <mergeCell ref="I841:I846"/>
    <mergeCell ref="D853:D858"/>
    <mergeCell ref="I847:I852"/>
    <mergeCell ref="J847:J852"/>
    <mergeCell ref="H845:H846"/>
    <mergeCell ref="J845:J846"/>
    <mergeCell ref="B833:I839"/>
    <mergeCell ref="A827:A832"/>
    <mergeCell ref="B827:B832"/>
    <mergeCell ref="C827:C832"/>
    <mergeCell ref="D827:D832"/>
    <mergeCell ref="B443:B448"/>
    <mergeCell ref="C443:C448"/>
    <mergeCell ref="B749:B754"/>
    <mergeCell ref="C749:C754"/>
    <mergeCell ref="D749:D754"/>
    <mergeCell ref="E749:E754"/>
    <mergeCell ref="P809:P814"/>
    <mergeCell ref="P803:P808"/>
    <mergeCell ref="B791:B796"/>
    <mergeCell ref="C791:C796"/>
    <mergeCell ref="D791:D796"/>
    <mergeCell ref="H803:H808"/>
    <mergeCell ref="I803:I808"/>
    <mergeCell ref="A767:A772"/>
    <mergeCell ref="B767:B772"/>
    <mergeCell ref="C767:C772"/>
    <mergeCell ref="E883:E888"/>
    <mergeCell ref="F883:F888"/>
    <mergeCell ref="G883:G888"/>
    <mergeCell ref="H883:H888"/>
    <mergeCell ref="J883:J888"/>
    <mergeCell ref="I883:I888"/>
    <mergeCell ref="P681:P686"/>
    <mergeCell ref="C509:C514"/>
    <mergeCell ref="D509:D514"/>
    <mergeCell ref="P311:P316"/>
    <mergeCell ref="J437:J442"/>
    <mergeCell ref="I371:I376"/>
    <mergeCell ref="G347:G352"/>
    <mergeCell ref="H347:H352"/>
    <mergeCell ref="P365:P370"/>
    <mergeCell ref="P317:P322"/>
    <mergeCell ref="C883:C888"/>
    <mergeCell ref="E791:E796"/>
    <mergeCell ref="F791:F796"/>
    <mergeCell ref="G791:G796"/>
    <mergeCell ref="H791:H796"/>
    <mergeCell ref="K731:K736"/>
    <mergeCell ref="H713:H714"/>
    <mergeCell ref="I713:I714"/>
    <mergeCell ref="J713:J714"/>
    <mergeCell ref="K713:K714"/>
    <mergeCell ref="L713:L714"/>
    <mergeCell ref="H715:H716"/>
    <mergeCell ref="C779:C784"/>
    <mergeCell ref="I767:I772"/>
    <mergeCell ref="H773:H778"/>
    <mergeCell ref="S889:S894"/>
    <mergeCell ref="K889:K894"/>
    <mergeCell ref="L889:L894"/>
    <mergeCell ref="A895:A900"/>
    <mergeCell ref="B895:B900"/>
    <mergeCell ref="Q907:Q913"/>
    <mergeCell ref="P907:P913"/>
    <mergeCell ref="J895:J900"/>
    <mergeCell ref="I895:I900"/>
    <mergeCell ref="K895:K900"/>
    <mergeCell ref="S895:S900"/>
    <mergeCell ref="L895:L900"/>
    <mergeCell ref="J914:J920"/>
    <mergeCell ref="K914:K920"/>
    <mergeCell ref="L914:L920"/>
    <mergeCell ref="S901:S906"/>
    <mergeCell ref="K901:K906"/>
    <mergeCell ref="A907:A913"/>
    <mergeCell ref="P895:P900"/>
    <mergeCell ref="A901:A906"/>
    <mergeCell ref="B901:B906"/>
    <mergeCell ref="C901:C906"/>
    <mergeCell ref="D901:D906"/>
    <mergeCell ref="E901:E906"/>
    <mergeCell ref="F901:F906"/>
    <mergeCell ref="G901:G906"/>
    <mergeCell ref="H901:H906"/>
    <mergeCell ref="I901:I906"/>
    <mergeCell ref="J901:J906"/>
    <mergeCell ref="N895:O899"/>
    <mergeCell ref="N900:O900"/>
    <mergeCell ref="N901:O905"/>
    <mergeCell ref="A914:A920"/>
    <mergeCell ref="A889:A894"/>
    <mergeCell ref="B889:B894"/>
    <mergeCell ref="C889:C894"/>
    <mergeCell ref="D889:D894"/>
    <mergeCell ref="E889:E894"/>
    <mergeCell ref="F889:F894"/>
    <mergeCell ref="G889:G894"/>
    <mergeCell ref="H889:H894"/>
    <mergeCell ref="J889:J894"/>
    <mergeCell ref="I889:I894"/>
    <mergeCell ref="A865:A870"/>
    <mergeCell ref="B865:B870"/>
    <mergeCell ref="E871:E876"/>
    <mergeCell ref="G871:G876"/>
    <mergeCell ref="F871:F876"/>
    <mergeCell ref="N906:O906"/>
    <mergeCell ref="A883:A888"/>
    <mergeCell ref="B883:B888"/>
    <mergeCell ref="D877:D882"/>
    <mergeCell ref="E877:E882"/>
    <mergeCell ref="J871:J876"/>
    <mergeCell ref="I871:I876"/>
    <mergeCell ref="H871:H876"/>
    <mergeCell ref="K877:K882"/>
    <mergeCell ref="K871:K876"/>
    <mergeCell ref="L871:L876"/>
    <mergeCell ref="C865:C870"/>
    <mergeCell ref="L883:L888"/>
    <mergeCell ref="A877:A882"/>
    <mergeCell ref="B877:B882"/>
    <mergeCell ref="L865:L870"/>
    <mergeCell ref="S853:S858"/>
    <mergeCell ref="K853:K858"/>
    <mergeCell ref="L853:L858"/>
    <mergeCell ref="A859:A864"/>
    <mergeCell ref="B859:B864"/>
    <mergeCell ref="C859:C864"/>
    <mergeCell ref="D859:D864"/>
    <mergeCell ref="E859:E864"/>
    <mergeCell ref="G859:G864"/>
    <mergeCell ref="F859:F864"/>
    <mergeCell ref="H859:H864"/>
    <mergeCell ref="I859:I864"/>
    <mergeCell ref="J859:J864"/>
    <mergeCell ref="S859:S864"/>
    <mergeCell ref="K859:K864"/>
    <mergeCell ref="L859:L864"/>
    <mergeCell ref="L877:L882"/>
    <mergeCell ref="N865:O869"/>
    <mergeCell ref="N877:O881"/>
    <mergeCell ref="S865:S870"/>
    <mergeCell ref="N859:P864"/>
    <mergeCell ref="S879:S882"/>
    <mergeCell ref="S877:S878"/>
    <mergeCell ref="S871:S876"/>
    <mergeCell ref="P865:P870"/>
    <mergeCell ref="P871:P876"/>
    <mergeCell ref="A871:A876"/>
    <mergeCell ref="B871:B876"/>
    <mergeCell ref="C871:C876"/>
    <mergeCell ref="D871:D876"/>
    <mergeCell ref="D865:D870"/>
    <mergeCell ref="H865:H870"/>
    <mergeCell ref="S841:S842"/>
    <mergeCell ref="S843:S844"/>
    <mergeCell ref="K841:K846"/>
    <mergeCell ref="L841:L846"/>
    <mergeCell ref="A847:A852"/>
    <mergeCell ref="B847:B852"/>
    <mergeCell ref="C847:C852"/>
    <mergeCell ref="D847:D852"/>
    <mergeCell ref="S847:S852"/>
    <mergeCell ref="L847:L852"/>
    <mergeCell ref="K833:K839"/>
    <mergeCell ref="L833:L839"/>
    <mergeCell ref="Q833:Q839"/>
    <mergeCell ref="J833:J839"/>
    <mergeCell ref="P833:P839"/>
    <mergeCell ref="N841:O845"/>
    <mergeCell ref="A841:A846"/>
    <mergeCell ref="P841:P846"/>
    <mergeCell ref="P847:P852"/>
    <mergeCell ref="E847:E852"/>
    <mergeCell ref="F847:F852"/>
    <mergeCell ref="G847:G852"/>
    <mergeCell ref="K847:K852"/>
    <mergeCell ref="A833:A839"/>
    <mergeCell ref="B841:B846"/>
    <mergeCell ref="C841:C846"/>
    <mergeCell ref="D841:D846"/>
    <mergeCell ref="E841:E846"/>
    <mergeCell ref="F841:F846"/>
    <mergeCell ref="G841:G846"/>
    <mergeCell ref="H841:H842"/>
    <mergeCell ref="H843:H844"/>
    <mergeCell ref="S827:S832"/>
    <mergeCell ref="Q827:Q832"/>
    <mergeCell ref="A815:A820"/>
    <mergeCell ref="B815:B820"/>
    <mergeCell ref="C815:C820"/>
    <mergeCell ref="D815:D820"/>
    <mergeCell ref="E815:E820"/>
    <mergeCell ref="F815:F820"/>
    <mergeCell ref="G815:G820"/>
    <mergeCell ref="H815:H820"/>
    <mergeCell ref="I815:I820"/>
    <mergeCell ref="J815:J820"/>
    <mergeCell ref="S815:S820"/>
    <mergeCell ref="K815:K820"/>
    <mergeCell ref="L815:L820"/>
    <mergeCell ref="P815:P820"/>
    <mergeCell ref="A821:A826"/>
    <mergeCell ref="B821:B826"/>
    <mergeCell ref="C821:C826"/>
    <mergeCell ref="D821:D826"/>
    <mergeCell ref="E821:E826"/>
    <mergeCell ref="F821:F826"/>
    <mergeCell ref="S821:S826"/>
    <mergeCell ref="K821:K826"/>
    <mergeCell ref="L821:L826"/>
    <mergeCell ref="Q815:Q820"/>
    <mergeCell ref="Q821:Q826"/>
    <mergeCell ref="P821:P826"/>
    <mergeCell ref="G821:G826"/>
    <mergeCell ref="H821:H826"/>
    <mergeCell ref="S803:S808"/>
    <mergeCell ref="J803:J808"/>
    <mergeCell ref="K803:K808"/>
    <mergeCell ref="L803:L808"/>
    <mergeCell ref="A809:A814"/>
    <mergeCell ref="B809:B814"/>
    <mergeCell ref="C809:C814"/>
    <mergeCell ref="D809:D814"/>
    <mergeCell ref="E809:E814"/>
    <mergeCell ref="F809:F814"/>
    <mergeCell ref="G809:G814"/>
    <mergeCell ref="H809:H814"/>
    <mergeCell ref="I809:I814"/>
    <mergeCell ref="J809:J814"/>
    <mergeCell ref="S809:S814"/>
    <mergeCell ref="K809:K814"/>
    <mergeCell ref="L809:L814"/>
    <mergeCell ref="S791:S796"/>
    <mergeCell ref="K791:K796"/>
    <mergeCell ref="L791:L796"/>
    <mergeCell ref="N803:O807"/>
    <mergeCell ref="N809:O813"/>
    <mergeCell ref="A797:A802"/>
    <mergeCell ref="B797:B802"/>
    <mergeCell ref="C797:C802"/>
    <mergeCell ref="D797:D802"/>
    <mergeCell ref="E797:E802"/>
    <mergeCell ref="G797:G802"/>
    <mergeCell ref="F797:F802"/>
    <mergeCell ref="H797:H802"/>
    <mergeCell ref="I797:I802"/>
    <mergeCell ref="J797:J802"/>
    <mergeCell ref="S797:S802"/>
    <mergeCell ref="K797:K802"/>
    <mergeCell ref="L797:L802"/>
    <mergeCell ref="Q791:Q796"/>
    <mergeCell ref="Q797:Q802"/>
    <mergeCell ref="P797:P802"/>
    <mergeCell ref="A791:A796"/>
    <mergeCell ref="N797:O801"/>
    <mergeCell ref="P791:P796"/>
    <mergeCell ref="N791:O795"/>
    <mergeCell ref="A803:A808"/>
    <mergeCell ref="B803:B808"/>
    <mergeCell ref="C803:C808"/>
    <mergeCell ref="D803:D808"/>
    <mergeCell ref="E803:E808"/>
    <mergeCell ref="F803:F808"/>
    <mergeCell ref="G803:G808"/>
    <mergeCell ref="A773:A778"/>
    <mergeCell ref="B773:B778"/>
    <mergeCell ref="J761:J766"/>
    <mergeCell ref="K761:K766"/>
    <mergeCell ref="L761:L766"/>
    <mergeCell ref="P761:P766"/>
    <mergeCell ref="Q755:Q760"/>
    <mergeCell ref="Q761:Q766"/>
    <mergeCell ref="N761:O765"/>
    <mergeCell ref="J755:J760"/>
    <mergeCell ref="A785:A790"/>
    <mergeCell ref="B785:B790"/>
    <mergeCell ref="C785:C790"/>
    <mergeCell ref="D785:D790"/>
    <mergeCell ref="E785:E790"/>
    <mergeCell ref="F785:F790"/>
    <mergeCell ref="G785:G790"/>
    <mergeCell ref="H787:H788"/>
    <mergeCell ref="H785:H786"/>
    <mergeCell ref="J785:J786"/>
    <mergeCell ref="J787:J788"/>
    <mergeCell ref="I785:I790"/>
    <mergeCell ref="K785:K790"/>
    <mergeCell ref="L785:L790"/>
    <mergeCell ref="H789:H790"/>
    <mergeCell ref="P785:P790"/>
    <mergeCell ref="K773:K778"/>
    <mergeCell ref="I773:I778"/>
    <mergeCell ref="J773:J778"/>
    <mergeCell ref="Q743:Q748"/>
    <mergeCell ref="Q749:Q754"/>
    <mergeCell ref="P749:P754"/>
    <mergeCell ref="J743:J748"/>
    <mergeCell ref="K737:K742"/>
    <mergeCell ref="L737:L742"/>
    <mergeCell ref="P737:P742"/>
    <mergeCell ref="A731:A736"/>
    <mergeCell ref="B731:B736"/>
    <mergeCell ref="C731:C736"/>
    <mergeCell ref="D731:D736"/>
    <mergeCell ref="E731:E736"/>
    <mergeCell ref="E737:E742"/>
    <mergeCell ref="F731:F736"/>
    <mergeCell ref="G731:G736"/>
    <mergeCell ref="H731:H736"/>
    <mergeCell ref="I731:I736"/>
    <mergeCell ref="J731:J736"/>
    <mergeCell ref="Q737:Q742"/>
    <mergeCell ref="B737:B742"/>
    <mergeCell ref="C737:C742"/>
    <mergeCell ref="L731:L736"/>
    <mergeCell ref="D737:D742"/>
    <mergeCell ref="F737:F742"/>
    <mergeCell ref="G737:G742"/>
    <mergeCell ref="H737:H742"/>
    <mergeCell ref="I737:I742"/>
    <mergeCell ref="G749:G754"/>
    <mergeCell ref="S431:S436"/>
    <mergeCell ref="K431:K436"/>
    <mergeCell ref="L431:L436"/>
    <mergeCell ref="A437:A442"/>
    <mergeCell ref="B437:B442"/>
    <mergeCell ref="C437:C442"/>
    <mergeCell ref="D437:D442"/>
    <mergeCell ref="E437:E442"/>
    <mergeCell ref="G437:G442"/>
    <mergeCell ref="I437:I442"/>
    <mergeCell ref="H437:H442"/>
    <mergeCell ref="D455:D460"/>
    <mergeCell ref="E455:E460"/>
    <mergeCell ref="F455:F460"/>
    <mergeCell ref="G455:G460"/>
    <mergeCell ref="I455:I460"/>
    <mergeCell ref="A449:A454"/>
    <mergeCell ref="B449:B454"/>
    <mergeCell ref="C449:C454"/>
    <mergeCell ref="D449:D454"/>
    <mergeCell ref="E449:E454"/>
    <mergeCell ref="F449:F454"/>
    <mergeCell ref="G449:G454"/>
    <mergeCell ref="H449:H454"/>
    <mergeCell ref="D443:D448"/>
    <mergeCell ref="A455:A460"/>
    <mergeCell ref="E443:E448"/>
    <mergeCell ref="B455:B460"/>
    <mergeCell ref="C455:C460"/>
    <mergeCell ref="K443:K448"/>
    <mergeCell ref="S449:S454"/>
    <mergeCell ref="K449:K454"/>
    <mergeCell ref="L449:L454"/>
    <mergeCell ref="Q449:Q454"/>
    <mergeCell ref="J449:J454"/>
    <mergeCell ref="Q437:Q442"/>
    <mergeCell ref="I449:I454"/>
    <mergeCell ref="Q425:Q430"/>
    <mergeCell ref="Q431:Q436"/>
    <mergeCell ref="P431:P436"/>
    <mergeCell ref="A419:A430"/>
    <mergeCell ref="B419:B430"/>
    <mergeCell ref="C419:C430"/>
    <mergeCell ref="D419:D430"/>
    <mergeCell ref="E419:E430"/>
    <mergeCell ref="F419:F430"/>
    <mergeCell ref="G419:G430"/>
    <mergeCell ref="H419:H424"/>
    <mergeCell ref="I419:I424"/>
    <mergeCell ref="I425:I430"/>
    <mergeCell ref="H425:H430"/>
    <mergeCell ref="J419:J424"/>
    <mergeCell ref="J425:J430"/>
    <mergeCell ref="K419:K430"/>
    <mergeCell ref="L419:L430"/>
    <mergeCell ref="B431:B436"/>
    <mergeCell ref="A431:A436"/>
    <mergeCell ref="C431:C436"/>
    <mergeCell ref="D431:D436"/>
    <mergeCell ref="E431:E436"/>
    <mergeCell ref="F431:F436"/>
    <mergeCell ref="G431:G436"/>
    <mergeCell ref="A413:A418"/>
    <mergeCell ref="B413:B418"/>
    <mergeCell ref="C413:C418"/>
    <mergeCell ref="D413:D418"/>
    <mergeCell ref="E413:E418"/>
    <mergeCell ref="F413:F418"/>
    <mergeCell ref="G413:G418"/>
    <mergeCell ref="H413:H418"/>
    <mergeCell ref="I413:I418"/>
    <mergeCell ref="J413:J418"/>
    <mergeCell ref="K413:K418"/>
    <mergeCell ref="L413:L418"/>
    <mergeCell ref="A401:A406"/>
    <mergeCell ref="B401:B406"/>
    <mergeCell ref="C401:C406"/>
    <mergeCell ref="D401:D406"/>
    <mergeCell ref="E401:E406"/>
    <mergeCell ref="F401:F406"/>
    <mergeCell ref="G401:G406"/>
    <mergeCell ref="H401:H406"/>
    <mergeCell ref="I401:I406"/>
    <mergeCell ref="P401:P406"/>
    <mergeCell ref="P413:P418"/>
    <mergeCell ref="Q401:Q406"/>
    <mergeCell ref="Q413:Q418"/>
    <mergeCell ref="J401:J406"/>
    <mergeCell ref="A407:A412"/>
    <mergeCell ref="B407:B412"/>
    <mergeCell ref="C407:C412"/>
    <mergeCell ref="D407:D412"/>
    <mergeCell ref="E407:E412"/>
    <mergeCell ref="A395:A400"/>
    <mergeCell ref="B395:B400"/>
    <mergeCell ref="C395:C400"/>
    <mergeCell ref="D395:D400"/>
    <mergeCell ref="E395:E400"/>
    <mergeCell ref="F395:F400"/>
    <mergeCell ref="G395:G400"/>
    <mergeCell ref="H395:H400"/>
    <mergeCell ref="I395:I400"/>
    <mergeCell ref="J395:J400"/>
    <mergeCell ref="K395:K400"/>
    <mergeCell ref="L395:L400"/>
    <mergeCell ref="A389:A394"/>
    <mergeCell ref="B389:B394"/>
    <mergeCell ref="C389:C394"/>
    <mergeCell ref="D389:D394"/>
    <mergeCell ref="E389:E394"/>
    <mergeCell ref="F389:F394"/>
    <mergeCell ref="G389:G394"/>
    <mergeCell ref="H389:H394"/>
    <mergeCell ref="I389:I394"/>
    <mergeCell ref="P389:P394"/>
    <mergeCell ref="P395:P400"/>
    <mergeCell ref="Q395:Q400"/>
    <mergeCell ref="J389:J394"/>
    <mergeCell ref="N395:O399"/>
    <mergeCell ref="S371:S376"/>
    <mergeCell ref="K371:K376"/>
    <mergeCell ref="L371:L376"/>
    <mergeCell ref="A371:A376"/>
    <mergeCell ref="B371:B376"/>
    <mergeCell ref="C371:C376"/>
    <mergeCell ref="D371:D376"/>
    <mergeCell ref="E371:E376"/>
    <mergeCell ref="F371:F376"/>
    <mergeCell ref="G371:G376"/>
    <mergeCell ref="S377:S382"/>
    <mergeCell ref="K377:K382"/>
    <mergeCell ref="L377:L382"/>
    <mergeCell ref="A383:A388"/>
    <mergeCell ref="B383:B388"/>
    <mergeCell ref="C383:C388"/>
    <mergeCell ref="D383:D388"/>
    <mergeCell ref="E383:E388"/>
    <mergeCell ref="F383:F388"/>
    <mergeCell ref="G383:G388"/>
    <mergeCell ref="H383:H388"/>
    <mergeCell ref="I383:I388"/>
    <mergeCell ref="J383:J388"/>
    <mergeCell ref="S383:S388"/>
    <mergeCell ref="K383:K388"/>
    <mergeCell ref="L383:L388"/>
    <mergeCell ref="A377:A382"/>
    <mergeCell ref="B377:B382"/>
    <mergeCell ref="C377:C382"/>
    <mergeCell ref="D377:D382"/>
    <mergeCell ref="E377:E382"/>
    <mergeCell ref="F377:F382"/>
    <mergeCell ref="S353:S358"/>
    <mergeCell ref="K353:K358"/>
    <mergeCell ref="L353:L358"/>
    <mergeCell ref="A347:A352"/>
    <mergeCell ref="B347:B352"/>
    <mergeCell ref="C347:C352"/>
    <mergeCell ref="D347:D352"/>
    <mergeCell ref="E347:E352"/>
    <mergeCell ref="F347:F352"/>
    <mergeCell ref="S367:S370"/>
    <mergeCell ref="K365:K370"/>
    <mergeCell ref="L365:L370"/>
    <mergeCell ref="I359:I364"/>
    <mergeCell ref="S359:S364"/>
    <mergeCell ref="K359:K364"/>
    <mergeCell ref="L359:L364"/>
    <mergeCell ref="A365:A370"/>
    <mergeCell ref="B365:B370"/>
    <mergeCell ref="C365:C370"/>
    <mergeCell ref="D365:D370"/>
    <mergeCell ref="E365:E370"/>
    <mergeCell ref="F365:F370"/>
    <mergeCell ref="G365:G370"/>
    <mergeCell ref="I365:I370"/>
    <mergeCell ref="H365:H366"/>
    <mergeCell ref="H367:H370"/>
    <mergeCell ref="J365:J366"/>
    <mergeCell ref="J367:J370"/>
    <mergeCell ref="Q359:Q364"/>
    <mergeCell ref="A341:A346"/>
    <mergeCell ref="B341:B346"/>
    <mergeCell ref="C341:C346"/>
    <mergeCell ref="D341:D346"/>
    <mergeCell ref="E341:E346"/>
    <mergeCell ref="F341:F346"/>
    <mergeCell ref="G341:G346"/>
    <mergeCell ref="H341:H346"/>
    <mergeCell ref="I341:I346"/>
    <mergeCell ref="A359:A364"/>
    <mergeCell ref="B359:B364"/>
    <mergeCell ref="C359:C364"/>
    <mergeCell ref="D359:D364"/>
    <mergeCell ref="E359:E364"/>
    <mergeCell ref="F359:F364"/>
    <mergeCell ref="G359:G364"/>
    <mergeCell ref="H359:H364"/>
    <mergeCell ref="J359:J364"/>
    <mergeCell ref="K347:K352"/>
    <mergeCell ref="L347:L352"/>
    <mergeCell ref="A353:A358"/>
    <mergeCell ref="B353:B358"/>
    <mergeCell ref="C353:C358"/>
    <mergeCell ref="D353:D358"/>
    <mergeCell ref="E353:E358"/>
    <mergeCell ref="F353:F358"/>
    <mergeCell ref="G353:G358"/>
    <mergeCell ref="J353:J358"/>
    <mergeCell ref="H353:H358"/>
    <mergeCell ref="I353:I358"/>
    <mergeCell ref="B323:B328"/>
    <mergeCell ref="C323:C328"/>
    <mergeCell ref="D323:D328"/>
    <mergeCell ref="E335:E340"/>
    <mergeCell ref="F323:F328"/>
    <mergeCell ref="G323:G328"/>
    <mergeCell ref="H323:H328"/>
    <mergeCell ref="I323:I328"/>
    <mergeCell ref="J323:J328"/>
    <mergeCell ref="K323:K328"/>
    <mergeCell ref="L323:L328"/>
    <mergeCell ref="K335:K340"/>
    <mergeCell ref="L335:L340"/>
    <mergeCell ref="A317:A322"/>
    <mergeCell ref="B317:B322"/>
    <mergeCell ref="C317:C322"/>
    <mergeCell ref="D317:D322"/>
    <mergeCell ref="E317:E322"/>
    <mergeCell ref="G317:G322"/>
    <mergeCell ref="F317:F322"/>
    <mergeCell ref="H317:H322"/>
    <mergeCell ref="I317:I322"/>
    <mergeCell ref="N323:O327"/>
    <mergeCell ref="N317:O321"/>
    <mergeCell ref="C335:C340"/>
    <mergeCell ref="D335:D340"/>
    <mergeCell ref="E323:E328"/>
    <mergeCell ref="F335:F340"/>
    <mergeCell ref="H335:H340"/>
    <mergeCell ref="S311:S316"/>
    <mergeCell ref="A305:A310"/>
    <mergeCell ref="Q305:Q310"/>
    <mergeCell ref="B305:B310"/>
    <mergeCell ref="C305:C310"/>
    <mergeCell ref="D305:D310"/>
    <mergeCell ref="E305:E310"/>
    <mergeCell ref="F305:F310"/>
    <mergeCell ref="G305:G310"/>
    <mergeCell ref="H305:H310"/>
    <mergeCell ref="J305:J310"/>
    <mergeCell ref="I305:I310"/>
    <mergeCell ref="S305:S310"/>
    <mergeCell ref="K305:K310"/>
    <mergeCell ref="L305:L310"/>
    <mergeCell ref="N305:O309"/>
    <mergeCell ref="N311:O315"/>
    <mergeCell ref="S255:S259"/>
    <mergeCell ref="K255:K259"/>
    <mergeCell ref="L255:L259"/>
    <mergeCell ref="A255:A259"/>
    <mergeCell ref="B273:B278"/>
    <mergeCell ref="C273:C278"/>
    <mergeCell ref="D273:D278"/>
    <mergeCell ref="E273:E278"/>
    <mergeCell ref="F273:F278"/>
    <mergeCell ref="G273:G278"/>
    <mergeCell ref="H273:H278"/>
    <mergeCell ref="J273:J278"/>
    <mergeCell ref="I273:I278"/>
    <mergeCell ref="S273:S278"/>
    <mergeCell ref="K273:K278"/>
    <mergeCell ref="L273:L278"/>
    <mergeCell ref="A273:A278"/>
    <mergeCell ref="B255:B259"/>
    <mergeCell ref="J255:J259"/>
    <mergeCell ref="M255:M257"/>
    <mergeCell ref="M258:M260"/>
    <mergeCell ref="M261:M263"/>
    <mergeCell ref="M270:M272"/>
    <mergeCell ref="N255:N257"/>
    <mergeCell ref="O255:O257"/>
    <mergeCell ref="N258:N260"/>
    <mergeCell ref="Q273:Q278"/>
    <mergeCell ref="A260:A266"/>
    <mergeCell ref="B260:B266"/>
    <mergeCell ref="C260:C266"/>
    <mergeCell ref="D260:D266"/>
    <mergeCell ref="P273:P278"/>
    <mergeCell ref="S243:S248"/>
    <mergeCell ref="K243:K248"/>
    <mergeCell ref="L243:L248"/>
    <mergeCell ref="A249:A254"/>
    <mergeCell ref="B249:B254"/>
    <mergeCell ref="C249:C254"/>
    <mergeCell ref="D249:D254"/>
    <mergeCell ref="E249:E254"/>
    <mergeCell ref="G249:G254"/>
    <mergeCell ref="F249:F254"/>
    <mergeCell ref="H249:H254"/>
    <mergeCell ref="J249:J254"/>
    <mergeCell ref="I249:I254"/>
    <mergeCell ref="S249:S254"/>
    <mergeCell ref="K249:K254"/>
    <mergeCell ref="L249:L254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I243:I248"/>
    <mergeCell ref="P243:P248"/>
    <mergeCell ref="P249:P254"/>
    <mergeCell ref="K230:K236"/>
    <mergeCell ref="L230:L236"/>
    <mergeCell ref="A237:A242"/>
    <mergeCell ref="B237:B242"/>
    <mergeCell ref="C237:C242"/>
    <mergeCell ref="D237:D242"/>
    <mergeCell ref="E237:E242"/>
    <mergeCell ref="F237:F242"/>
    <mergeCell ref="G237:G242"/>
    <mergeCell ref="J237:J242"/>
    <mergeCell ref="K237:K242"/>
    <mergeCell ref="I237:I242"/>
    <mergeCell ref="H237:H242"/>
    <mergeCell ref="L237:L242"/>
    <mergeCell ref="A230:A236"/>
    <mergeCell ref="B230:B236"/>
    <mergeCell ref="C230:C236"/>
    <mergeCell ref="D230:D236"/>
    <mergeCell ref="E230:E236"/>
    <mergeCell ref="F230:F236"/>
    <mergeCell ref="G230:G236"/>
    <mergeCell ref="J230:J236"/>
    <mergeCell ref="I230:I236"/>
    <mergeCell ref="H230:H236"/>
    <mergeCell ref="M233:M234"/>
    <mergeCell ref="M231:M232"/>
    <mergeCell ref="M229:M230"/>
    <mergeCell ref="N229:N230"/>
    <mergeCell ref="N231:N232"/>
    <mergeCell ref="N233:N234"/>
    <mergeCell ref="A213:A218"/>
    <mergeCell ref="B213:B218"/>
    <mergeCell ref="C213:C218"/>
    <mergeCell ref="D213:D218"/>
    <mergeCell ref="E213:E218"/>
    <mergeCell ref="F213:F218"/>
    <mergeCell ref="G213:G218"/>
    <mergeCell ref="H213:H218"/>
    <mergeCell ref="J213:J218"/>
    <mergeCell ref="I213:I218"/>
    <mergeCell ref="P213:P218"/>
    <mergeCell ref="Q219:Q224"/>
    <mergeCell ref="A225:A229"/>
    <mergeCell ref="B225:B229"/>
    <mergeCell ref="C225:C229"/>
    <mergeCell ref="D225:D229"/>
    <mergeCell ref="F225:F229"/>
    <mergeCell ref="G225:G229"/>
    <mergeCell ref="E225:E229"/>
    <mergeCell ref="H225:H229"/>
    <mergeCell ref="I225:I229"/>
    <mergeCell ref="A219:A224"/>
    <mergeCell ref="B219:B224"/>
    <mergeCell ref="C219:C224"/>
    <mergeCell ref="D219:D224"/>
    <mergeCell ref="F219:F224"/>
    <mergeCell ref="G219:G224"/>
    <mergeCell ref="E219:E224"/>
    <mergeCell ref="H219:H224"/>
    <mergeCell ref="J219:J224"/>
    <mergeCell ref="M227:M228"/>
    <mergeCell ref="M225:M226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J207:J212"/>
    <mergeCell ref="P207:P212"/>
    <mergeCell ref="I207:I212"/>
    <mergeCell ref="K195:K200"/>
    <mergeCell ref="L195:L200"/>
    <mergeCell ref="Q207:Q212"/>
    <mergeCell ref="B195:B200"/>
    <mergeCell ref="C195:C200"/>
    <mergeCell ref="N195:P199"/>
    <mergeCell ref="F201:F206"/>
    <mergeCell ref="H201:H206"/>
    <mergeCell ref="P201:P206"/>
    <mergeCell ref="Q195:Q200"/>
    <mergeCell ref="Q201:Q206"/>
    <mergeCell ref="K201:K206"/>
    <mergeCell ref="L201:L206"/>
    <mergeCell ref="A201:A206"/>
    <mergeCell ref="B201:B206"/>
    <mergeCell ref="A165:A170"/>
    <mergeCell ref="B165:B170"/>
    <mergeCell ref="C165:C170"/>
    <mergeCell ref="D165:D170"/>
    <mergeCell ref="E165:E170"/>
    <mergeCell ref="F165:F170"/>
    <mergeCell ref="G165:G170"/>
    <mergeCell ref="H165:H170"/>
    <mergeCell ref="J165:J170"/>
    <mergeCell ref="Q165:Q170"/>
    <mergeCell ref="Q171:Q176"/>
    <mergeCell ref="K177:K182"/>
    <mergeCell ref="L177:L182"/>
    <mergeCell ref="A177:A182"/>
    <mergeCell ref="G183:G188"/>
    <mergeCell ref="H183:H188"/>
    <mergeCell ref="I183:I188"/>
    <mergeCell ref="J183:J188"/>
    <mergeCell ref="K183:K188"/>
    <mergeCell ref="L183:L188"/>
    <mergeCell ref="B177:B182"/>
    <mergeCell ref="C177:C182"/>
    <mergeCell ref="D177:D182"/>
    <mergeCell ref="E177:E182"/>
    <mergeCell ref="G177:G182"/>
    <mergeCell ref="F177:F182"/>
    <mergeCell ref="H177:H182"/>
    <mergeCell ref="I177:I182"/>
    <mergeCell ref="J177:J182"/>
    <mergeCell ref="G21:G26"/>
    <mergeCell ref="I21:I26"/>
    <mergeCell ref="P33:P38"/>
    <mergeCell ref="L153:L158"/>
    <mergeCell ref="H153:H158"/>
    <mergeCell ref="K159:K164"/>
    <mergeCell ref="L159:L164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J159:J164"/>
    <mergeCell ref="I159:I164"/>
    <mergeCell ref="A153:A158"/>
    <mergeCell ref="B153:B158"/>
    <mergeCell ref="C153:C158"/>
    <mergeCell ref="D153:D158"/>
    <mergeCell ref="E153:E158"/>
    <mergeCell ref="G153:G158"/>
    <mergeCell ref="F153:F158"/>
    <mergeCell ref="I153:I158"/>
    <mergeCell ref="J153:J158"/>
    <mergeCell ref="K153:K158"/>
    <mergeCell ref="C135:C140"/>
    <mergeCell ref="D135:D140"/>
    <mergeCell ref="N105:O109"/>
    <mergeCell ref="N110:O110"/>
    <mergeCell ref="A189:A194"/>
    <mergeCell ref="B189:B194"/>
    <mergeCell ref="C189:C194"/>
    <mergeCell ref="D189:D194"/>
    <mergeCell ref="Q153:Q158"/>
    <mergeCell ref="Q159:Q164"/>
    <mergeCell ref="A291:A297"/>
    <mergeCell ref="A3:P3"/>
    <mergeCell ref="C4:O4"/>
    <mergeCell ref="A8:Q8"/>
    <mergeCell ref="A9:A14"/>
    <mergeCell ref="B9:B14"/>
    <mergeCell ref="C9:C14"/>
    <mergeCell ref="D9:D14"/>
    <mergeCell ref="G9:G14"/>
    <mergeCell ref="E9:E14"/>
    <mergeCell ref="A5:A6"/>
    <mergeCell ref="E5:E6"/>
    <mergeCell ref="F5:F6"/>
    <mergeCell ref="B5:C5"/>
    <mergeCell ref="D5:D6"/>
    <mergeCell ref="H5:H6"/>
    <mergeCell ref="Q5:Q6"/>
    <mergeCell ref="G5:G6"/>
    <mergeCell ref="I5:I6"/>
    <mergeCell ref="J5:J6"/>
    <mergeCell ref="Q9:Q14"/>
    <mergeCell ref="F9:F14"/>
    <mergeCell ref="I9:I14"/>
    <mergeCell ref="N9:O13"/>
    <mergeCell ref="A21:A26"/>
    <mergeCell ref="F21:F26"/>
    <mergeCell ref="J147:J152"/>
    <mergeCell ref="I165:I170"/>
    <mergeCell ref="C255:C259"/>
    <mergeCell ref="D255:D259"/>
    <mergeCell ref="E255:E259"/>
    <mergeCell ref="F255:F259"/>
    <mergeCell ref="G255:G259"/>
    <mergeCell ref="H255:H259"/>
    <mergeCell ref="I255:I259"/>
    <mergeCell ref="D195:D200"/>
    <mergeCell ref="E195:E200"/>
    <mergeCell ref="G195:G200"/>
    <mergeCell ref="I171:I176"/>
    <mergeCell ref="J171:J176"/>
    <mergeCell ref="E189:E194"/>
    <mergeCell ref="G189:G194"/>
    <mergeCell ref="F189:F194"/>
    <mergeCell ref="H189:H194"/>
    <mergeCell ref="I189:I194"/>
    <mergeCell ref="I219:I224"/>
    <mergeCell ref="F195:F200"/>
    <mergeCell ref="I195:I200"/>
    <mergeCell ref="H195:H200"/>
    <mergeCell ref="I201:I206"/>
    <mergeCell ref="J195:J200"/>
    <mergeCell ref="C201:C206"/>
    <mergeCell ref="D201:D206"/>
    <mergeCell ref="E201:E206"/>
    <mergeCell ref="B135:B140"/>
    <mergeCell ref="K165:K170"/>
    <mergeCell ref="L165:L170"/>
    <mergeCell ref="A171:A176"/>
    <mergeCell ref="B171:B176"/>
    <mergeCell ref="C171:C176"/>
    <mergeCell ref="L171:L176"/>
    <mergeCell ref="Q177:Q182"/>
    <mergeCell ref="Q183:Q188"/>
    <mergeCell ref="N183:P187"/>
    <mergeCell ref="N188:P188"/>
    <mergeCell ref="N182:P182"/>
    <mergeCell ref="G201:G206"/>
    <mergeCell ref="B147:B152"/>
    <mergeCell ref="C147:C152"/>
    <mergeCell ref="D147:D152"/>
    <mergeCell ref="E147:E152"/>
    <mergeCell ref="Q147:Q152"/>
    <mergeCell ref="J201:J206"/>
    <mergeCell ref="A141:A146"/>
    <mergeCell ref="B141:B146"/>
    <mergeCell ref="C141:C146"/>
    <mergeCell ref="D141:D146"/>
    <mergeCell ref="E141:E146"/>
    <mergeCell ref="F141:F146"/>
    <mergeCell ref="G141:G146"/>
    <mergeCell ref="H141:H146"/>
    <mergeCell ref="I141:I146"/>
    <mergeCell ref="G147:G152"/>
    <mergeCell ref="F147:F152"/>
    <mergeCell ref="H147:H152"/>
    <mergeCell ref="I147:I152"/>
    <mergeCell ref="E260:E266"/>
    <mergeCell ref="F260:F266"/>
    <mergeCell ref="G260:G266"/>
    <mergeCell ref="A81:A86"/>
    <mergeCell ref="B75:B80"/>
    <mergeCell ref="C75:C80"/>
    <mergeCell ref="D75:D80"/>
    <mergeCell ref="E75:E80"/>
    <mergeCell ref="G75:G80"/>
    <mergeCell ref="F75:F80"/>
    <mergeCell ref="H75:H80"/>
    <mergeCell ref="A87:A92"/>
    <mergeCell ref="A93:A98"/>
    <mergeCell ref="B87:B92"/>
    <mergeCell ref="C87:C92"/>
    <mergeCell ref="A195:A200"/>
    <mergeCell ref="D171:D176"/>
    <mergeCell ref="E171:E176"/>
    <mergeCell ref="F171:F176"/>
    <mergeCell ref="G171:G176"/>
    <mergeCell ref="H171:H176"/>
    <mergeCell ref="A183:A188"/>
    <mergeCell ref="B183:B188"/>
    <mergeCell ref="C183:C188"/>
    <mergeCell ref="D183:D188"/>
    <mergeCell ref="E183:E188"/>
    <mergeCell ref="F183:F188"/>
    <mergeCell ref="C123:C128"/>
    <mergeCell ref="D123:D128"/>
    <mergeCell ref="E123:E128"/>
    <mergeCell ref="F123:F128"/>
    <mergeCell ref="A135:A140"/>
    <mergeCell ref="B27:B32"/>
    <mergeCell ref="C27:C32"/>
    <mergeCell ref="D27:D32"/>
    <mergeCell ref="E27:E32"/>
    <mergeCell ref="G27:G32"/>
    <mergeCell ref="H27:H32"/>
    <mergeCell ref="F27:F32"/>
    <mergeCell ref="E135:E140"/>
    <mergeCell ref="F135:F140"/>
    <mergeCell ref="G135:G140"/>
    <mergeCell ref="H135:H140"/>
    <mergeCell ref="E129:E134"/>
    <mergeCell ref="F129:F134"/>
    <mergeCell ref="G129:G134"/>
    <mergeCell ref="H129:H134"/>
    <mergeCell ref="A129:A134"/>
    <mergeCell ref="G51:G56"/>
    <mergeCell ref="F51:F56"/>
    <mergeCell ref="D87:D92"/>
    <mergeCell ref="F87:F92"/>
    <mergeCell ref="E87:E92"/>
    <mergeCell ref="G87:G92"/>
    <mergeCell ref="H87:H92"/>
    <mergeCell ref="B45:B50"/>
    <mergeCell ref="D45:D50"/>
    <mergeCell ref="A45:A50"/>
    <mergeCell ref="A75:A80"/>
    <mergeCell ref="G45:G50"/>
    <mergeCell ref="H45:H50"/>
    <mergeCell ref="G63:G68"/>
    <mergeCell ref="A63:A68"/>
    <mergeCell ref="C45:C50"/>
    <mergeCell ref="S299:S304"/>
    <mergeCell ref="Q129:Q134"/>
    <mergeCell ref="J189:J194"/>
    <mergeCell ref="S153:S158"/>
    <mergeCell ref="B21:B26"/>
    <mergeCell ref="D21:D26"/>
    <mergeCell ref="H21:H26"/>
    <mergeCell ref="E21:E26"/>
    <mergeCell ref="I39:I44"/>
    <mergeCell ref="J39:J44"/>
    <mergeCell ref="I57:I62"/>
    <mergeCell ref="I33:I38"/>
    <mergeCell ref="J33:J38"/>
    <mergeCell ref="J27:J32"/>
    <mergeCell ref="I27:I32"/>
    <mergeCell ref="L57:L62"/>
    <mergeCell ref="I69:I74"/>
    <mergeCell ref="J69:J74"/>
    <mergeCell ref="Q135:Q140"/>
    <mergeCell ref="S123:S128"/>
    <mergeCell ref="L123:L128"/>
    <mergeCell ref="I135:I140"/>
    <mergeCell ref="F63:F68"/>
    <mergeCell ref="K105:K110"/>
    <mergeCell ref="L105:L110"/>
    <mergeCell ref="Q123:Q128"/>
    <mergeCell ref="P21:P26"/>
    <mergeCell ref="G39:G44"/>
    <mergeCell ref="F39:F44"/>
    <mergeCell ref="H39:H44"/>
    <mergeCell ref="G57:G62"/>
    <mergeCell ref="F57:F62"/>
    <mergeCell ref="L260:L266"/>
    <mergeCell ref="Q225:Q229"/>
    <mergeCell ref="K135:K140"/>
    <mergeCell ref="L135:L140"/>
    <mergeCell ref="K147:K152"/>
    <mergeCell ref="K39:K44"/>
    <mergeCell ref="K189:K194"/>
    <mergeCell ref="L189:L194"/>
    <mergeCell ref="K213:K218"/>
    <mergeCell ref="L213:L218"/>
    <mergeCell ref="N200:P200"/>
    <mergeCell ref="N201:O205"/>
    <mergeCell ref="K219:K224"/>
    <mergeCell ref="L219:L224"/>
    <mergeCell ref="M264:M266"/>
    <mergeCell ref="N141:P145"/>
    <mergeCell ref="Q141:Q146"/>
    <mergeCell ref="N146:P146"/>
    <mergeCell ref="K207:K212"/>
    <mergeCell ref="L207:L212"/>
    <mergeCell ref="J225:J229"/>
    <mergeCell ref="K225:K229"/>
    <mergeCell ref="N87:O92"/>
    <mergeCell ref="N45:P50"/>
    <mergeCell ref="N51:P56"/>
    <mergeCell ref="P219:P224"/>
    <mergeCell ref="N225:N226"/>
    <mergeCell ref="N227:N228"/>
    <mergeCell ref="O229:O230"/>
    <mergeCell ref="O231:O232"/>
    <mergeCell ref="O233:O234"/>
    <mergeCell ref="P237:P242"/>
    <mergeCell ref="J243:J248"/>
    <mergeCell ref="K45:K50"/>
    <mergeCell ref="L45:L50"/>
    <mergeCell ref="M235:M236"/>
    <mergeCell ref="L225:L229"/>
    <mergeCell ref="N189:P193"/>
    <mergeCell ref="N194:P194"/>
    <mergeCell ref="Q81:Q86"/>
    <mergeCell ref="Q75:Q80"/>
    <mergeCell ref="Q87:Q92"/>
    <mergeCell ref="Q93:Q98"/>
    <mergeCell ref="Q57:Q62"/>
    <mergeCell ref="Q51:Q56"/>
    <mergeCell ref="J141:J146"/>
    <mergeCell ref="K141:K146"/>
    <mergeCell ref="L141:L146"/>
    <mergeCell ref="N261:N263"/>
    <mergeCell ref="O261:O263"/>
    <mergeCell ref="N264:N266"/>
    <mergeCell ref="O264:O266"/>
    <mergeCell ref="N267:N269"/>
    <mergeCell ref="O267:O269"/>
    <mergeCell ref="K63:K68"/>
    <mergeCell ref="N57:P62"/>
    <mergeCell ref="K171:K176"/>
    <mergeCell ref="P225:P236"/>
    <mergeCell ref="N111:O115"/>
    <mergeCell ref="N116:O116"/>
    <mergeCell ref="N117:P121"/>
    <mergeCell ref="N122:P122"/>
    <mergeCell ref="N123:P127"/>
    <mergeCell ref="K5:L5"/>
    <mergeCell ref="N33:O37"/>
    <mergeCell ref="N39:O43"/>
    <mergeCell ref="N27:O31"/>
    <mergeCell ref="N21:O25"/>
    <mergeCell ref="N69:O73"/>
    <mergeCell ref="N74:O74"/>
    <mergeCell ref="N80:O80"/>
    <mergeCell ref="N81:O85"/>
    <mergeCell ref="N86:O86"/>
    <mergeCell ref="K93:K98"/>
    <mergeCell ref="L93:L98"/>
    <mergeCell ref="P69:P74"/>
    <mergeCell ref="L75:L80"/>
    <mergeCell ref="K69:K74"/>
    <mergeCell ref="L69:L74"/>
    <mergeCell ref="K260:K266"/>
    <mergeCell ref="S503:S508"/>
    <mergeCell ref="P323:P328"/>
    <mergeCell ref="S69:S74"/>
    <mergeCell ref="Q69:Q74"/>
    <mergeCell ref="K57:K62"/>
    <mergeCell ref="Q63:Q68"/>
    <mergeCell ref="M5:P5"/>
    <mergeCell ref="L39:L44"/>
    <mergeCell ref="S33:S38"/>
    <mergeCell ref="J51:J56"/>
    <mergeCell ref="K33:K38"/>
    <mergeCell ref="L33:L38"/>
    <mergeCell ref="S21:S26"/>
    <mergeCell ref="L27:L32"/>
    <mergeCell ref="K27:K32"/>
    <mergeCell ref="S27:S32"/>
    <mergeCell ref="K123:K128"/>
    <mergeCell ref="P9:P14"/>
    <mergeCell ref="L21:L26"/>
    <mergeCell ref="R21:R26"/>
    <mergeCell ref="S57:S62"/>
    <mergeCell ref="J21:J26"/>
    <mergeCell ref="K21:K26"/>
    <mergeCell ref="K291:K297"/>
    <mergeCell ref="J291:J297"/>
    <mergeCell ref="K129:K134"/>
    <mergeCell ref="L129:L134"/>
    <mergeCell ref="J129:J134"/>
    <mergeCell ref="J135:J140"/>
    <mergeCell ref="N63:P68"/>
    <mergeCell ref="L63:L68"/>
    <mergeCell ref="M267:M269"/>
    <mergeCell ref="I63:I68"/>
    <mergeCell ref="J63:J68"/>
    <mergeCell ref="P39:P44"/>
    <mergeCell ref="P27:P32"/>
    <mergeCell ref="H51:H56"/>
    <mergeCell ref="I51:I56"/>
    <mergeCell ref="H57:H62"/>
    <mergeCell ref="F33:F38"/>
    <mergeCell ref="A27:A32"/>
    <mergeCell ref="L51:L56"/>
    <mergeCell ref="H63:H68"/>
    <mergeCell ref="C21:C26"/>
    <mergeCell ref="Q21:Q26"/>
    <mergeCell ref="Q27:Q32"/>
    <mergeCell ref="Q33:Q38"/>
    <mergeCell ref="Q39:Q44"/>
    <mergeCell ref="I45:I50"/>
    <mergeCell ref="J45:J50"/>
    <mergeCell ref="B63:B68"/>
    <mergeCell ref="C63:C68"/>
    <mergeCell ref="D63:D68"/>
    <mergeCell ref="E63:E68"/>
    <mergeCell ref="J57:J62"/>
    <mergeCell ref="A57:A62"/>
    <mergeCell ref="B57:B62"/>
    <mergeCell ref="C57:C62"/>
    <mergeCell ref="D57:D62"/>
    <mergeCell ref="E57:E62"/>
    <mergeCell ref="E45:E50"/>
    <mergeCell ref="F45:F50"/>
    <mergeCell ref="J557:J563"/>
    <mergeCell ref="J317:J322"/>
    <mergeCell ref="J341:J346"/>
    <mergeCell ref="J347:J352"/>
    <mergeCell ref="J377:J382"/>
    <mergeCell ref="A33:A38"/>
    <mergeCell ref="B33:B38"/>
    <mergeCell ref="C33:C38"/>
    <mergeCell ref="D33:D38"/>
    <mergeCell ref="G33:G38"/>
    <mergeCell ref="H33:H38"/>
    <mergeCell ref="K51:K56"/>
    <mergeCell ref="E33:E38"/>
    <mergeCell ref="A39:A44"/>
    <mergeCell ref="B39:B44"/>
    <mergeCell ref="C39:C44"/>
    <mergeCell ref="D39:D44"/>
    <mergeCell ref="E39:E44"/>
    <mergeCell ref="A51:A56"/>
    <mergeCell ref="B51:B56"/>
    <mergeCell ref="C51:C56"/>
    <mergeCell ref="D51:D56"/>
    <mergeCell ref="E51:E56"/>
    <mergeCell ref="A69:A74"/>
    <mergeCell ref="B69:B74"/>
    <mergeCell ref="C69:C74"/>
    <mergeCell ref="D69:D74"/>
    <mergeCell ref="E69:E74"/>
    <mergeCell ref="F69:F74"/>
    <mergeCell ref="G69:G74"/>
    <mergeCell ref="H69:H74"/>
    <mergeCell ref="K75:K80"/>
    <mergeCell ref="C99:C104"/>
    <mergeCell ref="D99:D104"/>
    <mergeCell ref="E99:E104"/>
    <mergeCell ref="G99:G104"/>
    <mergeCell ref="F99:F104"/>
    <mergeCell ref="H99:H104"/>
    <mergeCell ref="I99:I104"/>
    <mergeCell ref="J99:J104"/>
    <mergeCell ref="K99:K104"/>
    <mergeCell ref="I75:I80"/>
    <mergeCell ref="J75:J80"/>
    <mergeCell ref="B81:B86"/>
    <mergeCell ref="C81:C86"/>
    <mergeCell ref="D81:D86"/>
    <mergeCell ref="E81:E86"/>
    <mergeCell ref="G81:G86"/>
    <mergeCell ref="I81:I86"/>
    <mergeCell ref="F81:F86"/>
    <mergeCell ref="P81:P86"/>
    <mergeCell ref="P75:P80"/>
    <mergeCell ref="H85:H86"/>
    <mergeCell ref="J85:J86"/>
    <mergeCell ref="K85:K86"/>
    <mergeCell ref="L85:L86"/>
    <mergeCell ref="L87:L92"/>
    <mergeCell ref="A105:A110"/>
    <mergeCell ref="Q105:Q110"/>
    <mergeCell ref="B105:B110"/>
    <mergeCell ref="C105:C110"/>
    <mergeCell ref="D105:D110"/>
    <mergeCell ref="E105:E110"/>
    <mergeCell ref="F105:F110"/>
    <mergeCell ref="G105:G110"/>
    <mergeCell ref="H105:H110"/>
    <mergeCell ref="I105:I110"/>
    <mergeCell ref="J105:J110"/>
    <mergeCell ref="P105:P110"/>
    <mergeCell ref="L99:L104"/>
    <mergeCell ref="N99:P104"/>
    <mergeCell ref="I87:I92"/>
    <mergeCell ref="J87:J92"/>
    <mergeCell ref="A99:A104"/>
    <mergeCell ref="Q99:Q104"/>
    <mergeCell ref="B93:B98"/>
    <mergeCell ref="C93:C98"/>
    <mergeCell ref="D93:D98"/>
    <mergeCell ref="E93:E98"/>
    <mergeCell ref="G93:G98"/>
    <mergeCell ref="F93:F98"/>
    <mergeCell ref="H93:H98"/>
    <mergeCell ref="I93:I98"/>
    <mergeCell ref="J93:J98"/>
    <mergeCell ref="P87:P92"/>
    <mergeCell ref="N93:P98"/>
    <mergeCell ref="B99:B104"/>
    <mergeCell ref="A117:A122"/>
    <mergeCell ref="Q117:Q122"/>
    <mergeCell ref="B111:B116"/>
    <mergeCell ref="C111:C116"/>
    <mergeCell ref="D111:D116"/>
    <mergeCell ref="E111:E116"/>
    <mergeCell ref="F111:F116"/>
    <mergeCell ref="G111:G116"/>
    <mergeCell ref="H111:H116"/>
    <mergeCell ref="K111:K116"/>
    <mergeCell ref="I111:I116"/>
    <mergeCell ref="J111:J116"/>
    <mergeCell ref="L111:L116"/>
    <mergeCell ref="A111:A116"/>
    <mergeCell ref="Q111:Q116"/>
    <mergeCell ref="B117:B122"/>
    <mergeCell ref="C117:C122"/>
    <mergeCell ref="D117:D122"/>
    <mergeCell ref="E117:E122"/>
    <mergeCell ref="F117:F122"/>
    <mergeCell ref="G117:G122"/>
    <mergeCell ref="I117:I122"/>
    <mergeCell ref="H117:H122"/>
    <mergeCell ref="J117:J122"/>
    <mergeCell ref="P111:P116"/>
    <mergeCell ref="K117:K122"/>
    <mergeCell ref="L117:L122"/>
    <mergeCell ref="B123:B128"/>
    <mergeCell ref="A123:A128"/>
    <mergeCell ref="G123:G128"/>
    <mergeCell ref="I123:I128"/>
    <mergeCell ref="H123:H128"/>
    <mergeCell ref="J123:J128"/>
    <mergeCell ref="I129:I134"/>
    <mergeCell ref="A147:A152"/>
    <mergeCell ref="B129:B134"/>
    <mergeCell ref="C129:C134"/>
    <mergeCell ref="D129:D134"/>
    <mergeCell ref="H455:H460"/>
    <mergeCell ref="J455:J460"/>
    <mergeCell ref="K455:K460"/>
    <mergeCell ref="L455:L460"/>
    <mergeCell ref="A461:A466"/>
    <mergeCell ref="B461:B466"/>
    <mergeCell ref="C461:C466"/>
    <mergeCell ref="D461:D466"/>
    <mergeCell ref="E461:E466"/>
    <mergeCell ref="F461:F466"/>
    <mergeCell ref="G461:G466"/>
    <mergeCell ref="H461:H466"/>
    <mergeCell ref="J461:J466"/>
    <mergeCell ref="I461:I466"/>
    <mergeCell ref="K461:K466"/>
    <mergeCell ref="L461:L466"/>
    <mergeCell ref="A285:A290"/>
    <mergeCell ref="N443:O443"/>
    <mergeCell ref="A279:A284"/>
    <mergeCell ref="B467:B472"/>
    <mergeCell ref="C467:C472"/>
    <mergeCell ref="D467:D472"/>
    <mergeCell ref="E467:E472"/>
    <mergeCell ref="G467:G472"/>
    <mergeCell ref="F467:F472"/>
    <mergeCell ref="K467:K472"/>
    <mergeCell ref="I467:I472"/>
    <mergeCell ref="H467:H472"/>
    <mergeCell ref="J467:J472"/>
    <mergeCell ref="L467:L472"/>
    <mergeCell ref="A473:A478"/>
    <mergeCell ref="B473:B478"/>
    <mergeCell ref="C473:C478"/>
    <mergeCell ref="D473:D478"/>
    <mergeCell ref="E473:E478"/>
    <mergeCell ref="G473:G478"/>
    <mergeCell ref="F473:F478"/>
    <mergeCell ref="I473:I478"/>
    <mergeCell ref="H473:H478"/>
    <mergeCell ref="J473:J478"/>
    <mergeCell ref="A467:A472"/>
    <mergeCell ref="N467:O469"/>
    <mergeCell ref="A479:A484"/>
    <mergeCell ref="B479:B484"/>
    <mergeCell ref="C479:C484"/>
    <mergeCell ref="D479:D484"/>
    <mergeCell ref="E479:E484"/>
    <mergeCell ref="F479:F484"/>
    <mergeCell ref="G479:G484"/>
    <mergeCell ref="H479:H484"/>
    <mergeCell ref="I479:I484"/>
    <mergeCell ref="J479:J484"/>
    <mergeCell ref="K479:K484"/>
    <mergeCell ref="L479:L484"/>
    <mergeCell ref="A485:A490"/>
    <mergeCell ref="B485:B490"/>
    <mergeCell ref="C485:C490"/>
    <mergeCell ref="D485:D490"/>
    <mergeCell ref="E485:E490"/>
    <mergeCell ref="F485:F490"/>
    <mergeCell ref="G485:G490"/>
    <mergeCell ref="H485:H490"/>
    <mergeCell ref="K485:K490"/>
    <mergeCell ref="L485:L490"/>
    <mergeCell ref="P479:P484"/>
    <mergeCell ref="P485:P490"/>
    <mergeCell ref="N479:O479"/>
    <mergeCell ref="N487:O490"/>
    <mergeCell ref="G565:G573"/>
    <mergeCell ref="G574:G584"/>
    <mergeCell ref="I565:I573"/>
    <mergeCell ref="I574:I584"/>
    <mergeCell ref="Q565:Q573"/>
    <mergeCell ref="Q574:Q584"/>
    <mergeCell ref="K503:K508"/>
    <mergeCell ref="L503:L508"/>
    <mergeCell ref="A565:A573"/>
    <mergeCell ref="B565:B573"/>
    <mergeCell ref="C565:C573"/>
    <mergeCell ref="D565:D573"/>
    <mergeCell ref="E565:E573"/>
    <mergeCell ref="F565:F573"/>
    <mergeCell ref="A574:A584"/>
    <mergeCell ref="B574:B584"/>
    <mergeCell ref="G503:G508"/>
    <mergeCell ref="H503:H508"/>
    <mergeCell ref="A503:A508"/>
    <mergeCell ref="B503:B508"/>
    <mergeCell ref="C503:C508"/>
    <mergeCell ref="D503:D508"/>
    <mergeCell ref="E503:E508"/>
    <mergeCell ref="K557:K563"/>
    <mergeCell ref="F503:F508"/>
    <mergeCell ref="I503:I508"/>
    <mergeCell ref="A557:A563"/>
    <mergeCell ref="L557:L563"/>
    <mergeCell ref="M574:O576"/>
    <mergeCell ref="B509:B514"/>
    <mergeCell ref="A533:A538"/>
    <mergeCell ref="B533:B538"/>
    <mergeCell ref="C591:C596"/>
    <mergeCell ref="D591:D596"/>
    <mergeCell ref="E591:E596"/>
    <mergeCell ref="F591:F596"/>
    <mergeCell ref="G591:G596"/>
    <mergeCell ref="H591:H596"/>
    <mergeCell ref="J591:J596"/>
    <mergeCell ref="I591:I596"/>
    <mergeCell ref="Q597:Q602"/>
    <mergeCell ref="B603:B608"/>
    <mergeCell ref="C603:C608"/>
    <mergeCell ref="D603:D608"/>
    <mergeCell ref="E603:E608"/>
    <mergeCell ref="F603:F608"/>
    <mergeCell ref="G603:G608"/>
    <mergeCell ref="C574:C584"/>
    <mergeCell ref="D574:D584"/>
    <mergeCell ref="E574:E584"/>
    <mergeCell ref="F574:F584"/>
    <mergeCell ref="H603:H608"/>
    <mergeCell ref="I603:I608"/>
    <mergeCell ref="J603:J608"/>
    <mergeCell ref="K603:K608"/>
    <mergeCell ref="L603:L608"/>
    <mergeCell ref="P591:P596"/>
    <mergeCell ref="P597:P602"/>
    <mergeCell ref="P603:P608"/>
    <mergeCell ref="Q585:Q590"/>
    <mergeCell ref="Q591:Q596"/>
    <mergeCell ref="P574:P584"/>
    <mergeCell ref="A585:A590"/>
    <mergeCell ref="B585:B590"/>
    <mergeCell ref="C585:C590"/>
    <mergeCell ref="D585:D590"/>
    <mergeCell ref="E585:E590"/>
    <mergeCell ref="F585:F590"/>
    <mergeCell ref="G585:G590"/>
    <mergeCell ref="H585:H590"/>
    <mergeCell ref="J585:J590"/>
    <mergeCell ref="I585:I590"/>
    <mergeCell ref="K585:K590"/>
    <mergeCell ref="L585:L590"/>
    <mergeCell ref="K591:K596"/>
    <mergeCell ref="L591:L596"/>
    <mergeCell ref="A609:A614"/>
    <mergeCell ref="A597:A602"/>
    <mergeCell ref="A603:A608"/>
    <mergeCell ref="B597:B602"/>
    <mergeCell ref="C597:C602"/>
    <mergeCell ref="D597:D602"/>
    <mergeCell ref="E597:E602"/>
    <mergeCell ref="F597:F602"/>
    <mergeCell ref="G597:G602"/>
    <mergeCell ref="H597:H602"/>
    <mergeCell ref="I597:I602"/>
    <mergeCell ref="J597:J602"/>
    <mergeCell ref="K597:K602"/>
    <mergeCell ref="L597:L602"/>
    <mergeCell ref="A591:A596"/>
    <mergeCell ref="B591:B596"/>
    <mergeCell ref="K609:K614"/>
    <mergeCell ref="L609:L614"/>
    <mergeCell ref="A615:A620"/>
    <mergeCell ref="B615:B620"/>
    <mergeCell ref="C615:C620"/>
    <mergeCell ref="D615:D620"/>
    <mergeCell ref="E615:E620"/>
    <mergeCell ref="F615:F620"/>
    <mergeCell ref="G615:G620"/>
    <mergeCell ref="H615:H620"/>
    <mergeCell ref="I615:I620"/>
    <mergeCell ref="J615:J620"/>
    <mergeCell ref="K615:K620"/>
    <mergeCell ref="L615:L620"/>
    <mergeCell ref="P609:P614"/>
    <mergeCell ref="P615:P620"/>
    <mergeCell ref="S621:S626"/>
    <mergeCell ref="K621:K626"/>
    <mergeCell ref="L621:L626"/>
    <mergeCell ref="A627:A632"/>
    <mergeCell ref="B627:B632"/>
    <mergeCell ref="C627:C632"/>
    <mergeCell ref="D627:D632"/>
    <mergeCell ref="E627:E632"/>
    <mergeCell ref="F627:F632"/>
    <mergeCell ref="G627:G632"/>
    <mergeCell ref="J627:J632"/>
    <mergeCell ref="I627:I632"/>
    <mergeCell ref="H627:H632"/>
    <mergeCell ref="S627:S632"/>
    <mergeCell ref="K627:K632"/>
    <mergeCell ref="L627:L632"/>
    <mergeCell ref="P627:P632"/>
    <mergeCell ref="P621:P626"/>
    <mergeCell ref="S651:S656"/>
    <mergeCell ref="K651:K656"/>
    <mergeCell ref="L651:L656"/>
    <mergeCell ref="A657:A662"/>
    <mergeCell ref="B657:B662"/>
    <mergeCell ref="C657:C662"/>
    <mergeCell ref="D657:D662"/>
    <mergeCell ref="F657:F662"/>
    <mergeCell ref="L633:L638"/>
    <mergeCell ref="A639:A644"/>
    <mergeCell ref="B639:B644"/>
    <mergeCell ref="C639:C644"/>
    <mergeCell ref="D639:D644"/>
    <mergeCell ref="E639:E644"/>
    <mergeCell ref="F639:F644"/>
    <mergeCell ref="G639:G644"/>
    <mergeCell ref="H639:H644"/>
    <mergeCell ref="I639:I644"/>
    <mergeCell ref="J639:J644"/>
    <mergeCell ref="S639:S644"/>
    <mergeCell ref="K639:K644"/>
    <mergeCell ref="L639:L644"/>
    <mergeCell ref="L645:L650"/>
    <mergeCell ref="S645:S650"/>
    <mergeCell ref="P651:P656"/>
    <mergeCell ref="Q633:Q638"/>
    <mergeCell ref="Q639:Q644"/>
    <mergeCell ref="Q645:Q650"/>
    <mergeCell ref="Q651:Q656"/>
    <mergeCell ref="Q657:Q662"/>
    <mergeCell ref="A645:A650"/>
    <mergeCell ref="B645:B650"/>
    <mergeCell ref="H651:H656"/>
    <mergeCell ref="I651:I656"/>
    <mergeCell ref="J651:J656"/>
    <mergeCell ref="A651:A656"/>
    <mergeCell ref="A681:A686"/>
    <mergeCell ref="A687:A692"/>
    <mergeCell ref="E693:E698"/>
    <mergeCell ref="F693:F698"/>
    <mergeCell ref="G693:G698"/>
    <mergeCell ref="H693:H698"/>
    <mergeCell ref="I693:I698"/>
    <mergeCell ref="J693:J698"/>
    <mergeCell ref="A663:A668"/>
    <mergeCell ref="B663:B668"/>
    <mergeCell ref="C663:C668"/>
    <mergeCell ref="J675:J680"/>
    <mergeCell ref="I675:I680"/>
    <mergeCell ref="D663:D668"/>
    <mergeCell ref="E663:E668"/>
    <mergeCell ref="F663:F668"/>
    <mergeCell ref="G663:G668"/>
    <mergeCell ref="H663:H668"/>
    <mergeCell ref="I663:I668"/>
    <mergeCell ref="J663:J668"/>
    <mergeCell ref="A699:A704"/>
    <mergeCell ref="B699:B704"/>
    <mergeCell ref="C699:C704"/>
    <mergeCell ref="D699:D704"/>
    <mergeCell ref="E699:E704"/>
    <mergeCell ref="F699:F704"/>
    <mergeCell ref="G699:G704"/>
    <mergeCell ref="H699:H704"/>
    <mergeCell ref="I699:I704"/>
    <mergeCell ref="J699:J704"/>
    <mergeCell ref="I681:I686"/>
    <mergeCell ref="J681:J686"/>
    <mergeCell ref="A669:A674"/>
    <mergeCell ref="B669:B674"/>
    <mergeCell ref="C669:C674"/>
    <mergeCell ref="D681:D686"/>
    <mergeCell ref="A693:A698"/>
    <mergeCell ref="B693:B698"/>
    <mergeCell ref="C693:C698"/>
    <mergeCell ref="D693:D698"/>
    <mergeCell ref="A675:A680"/>
    <mergeCell ref="B675:B680"/>
    <mergeCell ref="C675:C680"/>
    <mergeCell ref="D675:D680"/>
    <mergeCell ref="E675:E680"/>
    <mergeCell ref="F675:F680"/>
    <mergeCell ref="G675:G680"/>
    <mergeCell ref="H675:H680"/>
    <mergeCell ref="E681:E686"/>
    <mergeCell ref="F681:F686"/>
    <mergeCell ref="G681:G686"/>
    <mergeCell ref="H681:H686"/>
    <mergeCell ref="A725:A730"/>
    <mergeCell ref="A717:A723"/>
    <mergeCell ref="G657:G662"/>
    <mergeCell ref="H657:H662"/>
    <mergeCell ref="I657:I662"/>
    <mergeCell ref="J657:J662"/>
    <mergeCell ref="K657:K662"/>
    <mergeCell ref="L657:L662"/>
    <mergeCell ref="D669:D674"/>
    <mergeCell ref="E669:E674"/>
    <mergeCell ref="F669:F674"/>
    <mergeCell ref="G669:G674"/>
    <mergeCell ref="H669:H674"/>
    <mergeCell ref="I669:I674"/>
    <mergeCell ref="J669:J674"/>
    <mergeCell ref="B687:B692"/>
    <mergeCell ref="C687:C692"/>
    <mergeCell ref="K725:K730"/>
    <mergeCell ref="L725:L730"/>
    <mergeCell ref="K693:K698"/>
    <mergeCell ref="L693:L698"/>
    <mergeCell ref="D687:D692"/>
    <mergeCell ref="E687:E692"/>
    <mergeCell ref="G687:G692"/>
    <mergeCell ref="F687:F692"/>
    <mergeCell ref="H687:H692"/>
    <mergeCell ref="J687:J692"/>
    <mergeCell ref="I687:I692"/>
    <mergeCell ref="B725:B730"/>
    <mergeCell ref="C725:C730"/>
    <mergeCell ref="D725:D730"/>
    <mergeCell ref="E725:E730"/>
    <mergeCell ref="F725:F730"/>
    <mergeCell ref="G725:G730"/>
    <mergeCell ref="H725:H730"/>
    <mergeCell ref="I725:I730"/>
    <mergeCell ref="J725:J730"/>
    <mergeCell ref="K87:K92"/>
    <mergeCell ref="L147:L152"/>
    <mergeCell ref="Q279:Q284"/>
    <mergeCell ref="E651:E656"/>
    <mergeCell ref="B609:B614"/>
    <mergeCell ref="C609:C614"/>
    <mergeCell ref="D609:D614"/>
    <mergeCell ref="B651:B656"/>
    <mergeCell ref="C633:C638"/>
    <mergeCell ref="D633:D638"/>
    <mergeCell ref="K699:K704"/>
    <mergeCell ref="L699:L704"/>
    <mergeCell ref="B681:B686"/>
    <mergeCell ref="C681:C686"/>
    <mergeCell ref="C645:C650"/>
    <mergeCell ref="D645:D650"/>
    <mergeCell ref="E645:E650"/>
    <mergeCell ref="F645:F650"/>
    <mergeCell ref="C651:C656"/>
    <mergeCell ref="I497:I502"/>
    <mergeCell ref="J497:J502"/>
    <mergeCell ref="H299:H304"/>
    <mergeCell ref="J299:J304"/>
    <mergeCell ref="I299:I304"/>
    <mergeCell ref="G377:G382"/>
    <mergeCell ref="H377:H382"/>
    <mergeCell ref="I377:I382"/>
    <mergeCell ref="C521:C526"/>
    <mergeCell ref="D521:D526"/>
    <mergeCell ref="E521:E526"/>
    <mergeCell ref="F521:F526"/>
    <mergeCell ref="G521:G526"/>
    <mergeCell ref="H521:H526"/>
    <mergeCell ref="I521:I526"/>
    <mergeCell ref="J521:J526"/>
    <mergeCell ref="F407:F412"/>
    <mergeCell ref="G407:G412"/>
    <mergeCell ref="H407:H412"/>
    <mergeCell ref="I407:I412"/>
    <mergeCell ref="J407:J412"/>
    <mergeCell ref="C311:C316"/>
    <mergeCell ref="D311:D316"/>
    <mergeCell ref="E311:E316"/>
    <mergeCell ref="H431:H436"/>
    <mergeCell ref="I431:I436"/>
    <mergeCell ref="J431:J436"/>
    <mergeCell ref="D279:D284"/>
    <mergeCell ref="E279:E284"/>
    <mergeCell ref="F279:F284"/>
    <mergeCell ref="G279:G284"/>
    <mergeCell ref="H279:H284"/>
    <mergeCell ref="I279:I284"/>
    <mergeCell ref="J279:J284"/>
    <mergeCell ref="K279:K284"/>
    <mergeCell ref="L279:L284"/>
    <mergeCell ref="L299:L304"/>
    <mergeCell ref="B299:B304"/>
    <mergeCell ref="C299:C304"/>
    <mergeCell ref="D299:D304"/>
    <mergeCell ref="N377:O381"/>
    <mergeCell ref="P305:P310"/>
    <mergeCell ref="K299:K304"/>
    <mergeCell ref="N299:O303"/>
    <mergeCell ref="A298:Q298"/>
    <mergeCell ref="E299:E304"/>
    <mergeCell ref="F299:F304"/>
    <mergeCell ref="G299:G304"/>
    <mergeCell ref="A299:A304"/>
    <mergeCell ref="Q299:Q304"/>
    <mergeCell ref="A311:A316"/>
    <mergeCell ref="B311:B316"/>
    <mergeCell ref="F311:F316"/>
    <mergeCell ref="G311:G316"/>
    <mergeCell ref="H311:H316"/>
    <mergeCell ref="J311:J316"/>
    <mergeCell ref="I311:I316"/>
    <mergeCell ref="A323:A328"/>
    <mergeCell ref="L291:L297"/>
    <mergeCell ref="A267:A272"/>
    <mergeCell ref="B267:B272"/>
    <mergeCell ref="C267:C272"/>
    <mergeCell ref="D267:D272"/>
    <mergeCell ref="E267:E272"/>
    <mergeCell ref="F267:F272"/>
    <mergeCell ref="G267:G272"/>
    <mergeCell ref="H267:H272"/>
    <mergeCell ref="I267:I272"/>
    <mergeCell ref="J267:J272"/>
    <mergeCell ref="K267:K272"/>
    <mergeCell ref="L267:L272"/>
    <mergeCell ref="A621:A626"/>
    <mergeCell ref="B621:B626"/>
    <mergeCell ref="C621:C626"/>
    <mergeCell ref="D621:D626"/>
    <mergeCell ref="E621:E626"/>
    <mergeCell ref="F621:F626"/>
    <mergeCell ref="G621:G626"/>
    <mergeCell ref="H621:H626"/>
    <mergeCell ref="I621:I626"/>
    <mergeCell ref="J621:J626"/>
    <mergeCell ref="E609:E614"/>
    <mergeCell ref="F609:F614"/>
    <mergeCell ref="G609:G614"/>
    <mergeCell ref="I609:I614"/>
    <mergeCell ref="B285:B290"/>
    <mergeCell ref="A521:A526"/>
    <mergeCell ref="B521:B526"/>
    <mergeCell ref="B279:B284"/>
    <mergeCell ref="C279:C284"/>
    <mergeCell ref="C491:C496"/>
    <mergeCell ref="D491:D496"/>
    <mergeCell ref="E491:E496"/>
    <mergeCell ref="F491:F496"/>
    <mergeCell ref="G491:G496"/>
    <mergeCell ref="H491:H496"/>
    <mergeCell ref="J491:J496"/>
    <mergeCell ref="I491:I496"/>
    <mergeCell ref="K491:K496"/>
    <mergeCell ref="L491:L496"/>
    <mergeCell ref="A497:A502"/>
    <mergeCell ref="B497:B502"/>
    <mergeCell ref="C497:C502"/>
    <mergeCell ref="D497:D502"/>
    <mergeCell ref="M517:M518"/>
    <mergeCell ref="E509:E520"/>
    <mergeCell ref="F509:F520"/>
    <mergeCell ref="Q509:Q520"/>
    <mergeCell ref="G509:G520"/>
    <mergeCell ref="K497:K502"/>
    <mergeCell ref="L497:L502"/>
    <mergeCell ref="N491:O496"/>
    <mergeCell ref="P491:P496"/>
    <mergeCell ref="M509:M510"/>
    <mergeCell ref="N509:N510"/>
    <mergeCell ref="O509:O510"/>
    <mergeCell ref="E497:E502"/>
    <mergeCell ref="F497:F502"/>
    <mergeCell ref="G497:G502"/>
    <mergeCell ref="H497:H502"/>
    <mergeCell ref="A545:A550"/>
    <mergeCell ref="B545:B550"/>
    <mergeCell ref="C545:C550"/>
    <mergeCell ref="D545:D550"/>
    <mergeCell ref="E545:E550"/>
    <mergeCell ref="F545:F550"/>
    <mergeCell ref="G545:G550"/>
    <mergeCell ref="H545:H550"/>
    <mergeCell ref="I545:I550"/>
    <mergeCell ref="J545:J550"/>
    <mergeCell ref="K545:K550"/>
    <mergeCell ref="L545:L550"/>
    <mergeCell ref="L663:L668"/>
    <mergeCell ref="G645:G650"/>
    <mergeCell ref="H645:H650"/>
    <mergeCell ref="I645:I650"/>
    <mergeCell ref="E633:E638"/>
    <mergeCell ref="F633:F638"/>
    <mergeCell ref="G633:G638"/>
    <mergeCell ref="H633:H638"/>
    <mergeCell ref="I633:I638"/>
    <mergeCell ref="J633:J638"/>
    <mergeCell ref="K633:K638"/>
    <mergeCell ref="J645:J650"/>
    <mergeCell ref="K645:K650"/>
    <mergeCell ref="A633:A638"/>
    <mergeCell ref="B633:B638"/>
    <mergeCell ref="D651:D656"/>
    <mergeCell ref="E657:E662"/>
    <mergeCell ref="F651:F656"/>
    <mergeCell ref="G651:G656"/>
    <mergeCell ref="S15:S20"/>
    <mergeCell ref="N779:O783"/>
    <mergeCell ref="N785:O789"/>
    <mergeCell ref="P669:P673"/>
    <mergeCell ref="J533:J538"/>
    <mergeCell ref="K533:K538"/>
    <mergeCell ref="L533:L538"/>
    <mergeCell ref="P533:P538"/>
    <mergeCell ref="K311:K316"/>
    <mergeCell ref="L311:L316"/>
    <mergeCell ref="K317:K322"/>
    <mergeCell ref="L317:L322"/>
    <mergeCell ref="K341:K346"/>
    <mergeCell ref="L341:L346"/>
    <mergeCell ref="J737:J742"/>
    <mergeCell ref="P383:P388"/>
    <mergeCell ref="K743:K748"/>
    <mergeCell ref="L743:L748"/>
    <mergeCell ref="J770:J772"/>
    <mergeCell ref="P509:P520"/>
    <mergeCell ref="K663:K668"/>
    <mergeCell ref="K521:K526"/>
    <mergeCell ref="L521:L526"/>
    <mergeCell ref="P521:P526"/>
    <mergeCell ref="J789:J790"/>
    <mergeCell ref="K779:K784"/>
    <mergeCell ref="L779:L784"/>
    <mergeCell ref="M515:M516"/>
    <mergeCell ref="M513:M514"/>
    <mergeCell ref="M511:M512"/>
    <mergeCell ref="K527:K532"/>
    <mergeCell ref="L527:L532"/>
    <mergeCell ref="C285:C290"/>
    <mergeCell ref="D285:D290"/>
    <mergeCell ref="E285:E290"/>
    <mergeCell ref="F285:F290"/>
    <mergeCell ref="G285:G290"/>
    <mergeCell ref="K285:K290"/>
    <mergeCell ref="L285:L290"/>
    <mergeCell ref="P285:P290"/>
    <mergeCell ref="Q285:Q290"/>
    <mergeCell ref="N413:O417"/>
    <mergeCell ref="N389:O393"/>
    <mergeCell ref="A527:A532"/>
    <mergeCell ref="B527:B532"/>
    <mergeCell ref="A15:A20"/>
    <mergeCell ref="B15:B20"/>
    <mergeCell ref="C15:C20"/>
    <mergeCell ref="D15:D20"/>
    <mergeCell ref="E15:E20"/>
    <mergeCell ref="F15:F20"/>
    <mergeCell ref="G15:G20"/>
    <mergeCell ref="I15:I20"/>
    <mergeCell ref="N15:O19"/>
    <mergeCell ref="P15:P20"/>
    <mergeCell ref="Q15:Q20"/>
    <mergeCell ref="H15:H20"/>
    <mergeCell ref="J15:J20"/>
    <mergeCell ref="K15:K20"/>
    <mergeCell ref="L15:L20"/>
    <mergeCell ref="P527:P532"/>
    <mergeCell ref="Q521:Q526"/>
    <mergeCell ref="A491:A496"/>
    <mergeCell ref="B491:B496"/>
    <mergeCell ref="C539:C544"/>
    <mergeCell ref="D539:D544"/>
    <mergeCell ref="E539:E544"/>
    <mergeCell ref="F539:F544"/>
    <mergeCell ref="G539:G544"/>
    <mergeCell ref="H539:H544"/>
    <mergeCell ref="I539:I544"/>
    <mergeCell ref="J539:J544"/>
    <mergeCell ref="K539:K544"/>
    <mergeCell ref="L539:L544"/>
    <mergeCell ref="P539:P544"/>
    <mergeCell ref="Q539:Q544"/>
    <mergeCell ref="M519:M520"/>
    <mergeCell ref="N517:N518"/>
    <mergeCell ref="N519:N520"/>
    <mergeCell ref="H531:H532"/>
    <mergeCell ref="J531:J532"/>
    <mergeCell ref="C533:C538"/>
    <mergeCell ref="D533:D538"/>
    <mergeCell ref="E533:E538"/>
    <mergeCell ref="F533:F538"/>
    <mergeCell ref="G533:G538"/>
    <mergeCell ref="H533:H538"/>
    <mergeCell ref="I533:I538"/>
    <mergeCell ref="O511:O512"/>
    <mergeCell ref="O513:O514"/>
    <mergeCell ref="O515:O516"/>
    <mergeCell ref="O517:O518"/>
    <mergeCell ref="O519:O520"/>
    <mergeCell ref="N645:O649"/>
    <mergeCell ref="N681:O685"/>
    <mergeCell ref="N725:O729"/>
    <mergeCell ref="N731:O735"/>
    <mergeCell ref="N737:O741"/>
    <mergeCell ref="N743:O747"/>
    <mergeCell ref="N749:O753"/>
    <mergeCell ref="N591:O595"/>
    <mergeCell ref="N609:O613"/>
    <mergeCell ref="N627:O631"/>
    <mergeCell ref="N615:O619"/>
    <mergeCell ref="A724:Q724"/>
    <mergeCell ref="P585:P590"/>
    <mergeCell ref="Q533:Q538"/>
    <mergeCell ref="C527:C532"/>
    <mergeCell ref="D527:D532"/>
    <mergeCell ref="E527:E532"/>
    <mergeCell ref="F527:F532"/>
    <mergeCell ref="G527:G532"/>
    <mergeCell ref="I527:I532"/>
    <mergeCell ref="Q527:Q532"/>
    <mergeCell ref="H527:H528"/>
    <mergeCell ref="H529:H530"/>
    <mergeCell ref="J527:J528"/>
    <mergeCell ref="J529:J530"/>
    <mergeCell ref="A539:A544"/>
    <mergeCell ref="B539:B544"/>
    <mergeCell ref="L773:L778"/>
    <mergeCell ref="H767:H769"/>
    <mergeCell ref="H609:H614"/>
    <mergeCell ref="J609:J614"/>
    <mergeCell ref="N401:O406"/>
    <mergeCell ref="H288:H290"/>
    <mergeCell ref="H285:H287"/>
    <mergeCell ref="I285:I287"/>
    <mergeCell ref="I288:I290"/>
    <mergeCell ref="J285:J287"/>
    <mergeCell ref="J288:J290"/>
    <mergeCell ref="A329:A334"/>
    <mergeCell ref="B329:B334"/>
    <mergeCell ref="C329:C334"/>
    <mergeCell ref="D329:D334"/>
    <mergeCell ref="E329:E334"/>
    <mergeCell ref="F329:F334"/>
    <mergeCell ref="G329:G334"/>
    <mergeCell ref="H329:H334"/>
    <mergeCell ref="I329:I334"/>
    <mergeCell ref="J329:J334"/>
    <mergeCell ref="K329:K334"/>
    <mergeCell ref="L329:L334"/>
    <mergeCell ref="N680:O680"/>
    <mergeCell ref="N686:O686"/>
    <mergeCell ref="N767:O769"/>
    <mergeCell ref="N511:N512"/>
    <mergeCell ref="N513:N514"/>
    <mergeCell ref="N515:N516"/>
  </mergeCells>
  <pageMargins left="0.19685039370078741" right="0.19685039370078741" top="1.1811023622047245" bottom="0.19685039370078741" header="0.31496062992125984" footer="0.3149606299212598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Инф. о передачи в безвозм. поль</vt:lpstr>
      <vt:lpstr>'Инф. о передачи в безвозм. поль'!Заголовки_для_печати</vt:lpstr>
      <vt:lpstr>'Инф. о передачи в безвозм. поль'!Область_печати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2023-09-15T06:20:10Z</dcterms:modified>
</cp:coreProperties>
</file>